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so_arc\template wachtkamer\"/>
    </mc:Choice>
  </mc:AlternateContent>
  <workbookProtection workbookAlgorithmName="SHA-512" workbookHashValue="71dW5D0AsUxOt1cUAydZTAud/qEycSXMxxaqAR6FiXxcaiTetI0wTFsw+WdV4Gh9evzSV28yVUxqFioI+g6NqA==" workbookSaltValue="a1kKtsFeIeN3CnG2QPaOcw==" workbookSpinCount="100000" lockStructure="1"/>
  <bookViews>
    <workbookView xWindow="0" yWindow="0" windowWidth="28800" windowHeight="14235" activeTab="1"/>
  </bookViews>
  <sheets>
    <sheet name="gebruiksaanwijzing" sheetId="9" r:id="rId1"/>
    <sheet name="NOP" sheetId="4" r:id="rId2"/>
    <sheet name="OP" sheetId="5" r:id="rId3"/>
    <sheet name="MO" sheetId="6" r:id="rId4"/>
    <sheet name="Disclaimer" sheetId="7" r:id="rId5"/>
  </sheets>
  <definedNames>
    <definedName name="_xlnm.Print_Area" localSheetId="3">MO!$F$22:$AR$63</definedName>
    <definedName name="_xlnm.Print_Area" localSheetId="1">NOP!$F$23:$AR$77</definedName>
    <definedName name="_xlnm.Print_Area" localSheetId="2">OP!$F$22:$AR$65</definedName>
    <definedName name="_xlnm.Print_Titles" localSheetId="3">MO!$1:$5</definedName>
    <definedName name="_xlnm.Print_Titles" localSheetId="1">NOP!$1:$5</definedName>
    <definedName name="_xlnm.Print_Titles" localSheetId="2">OP!$1:$5</definedName>
  </definedNames>
  <calcPr calcId="152511"/>
</workbook>
</file>

<file path=xl/calcChain.xml><?xml version="1.0" encoding="utf-8"?>
<calcChain xmlns="http://schemas.openxmlformats.org/spreadsheetml/2006/main">
  <c r="H46" i="5" l="1"/>
  <c r="H46" i="4" l="1"/>
  <c r="R40" i="4"/>
  <c r="H58" i="4" l="1"/>
  <c r="F2" i="5" l="1"/>
  <c r="F2" i="4"/>
  <c r="Y37" i="4" l="1"/>
  <c r="H37" i="4"/>
  <c r="Y40" i="4"/>
  <c r="H40" i="4"/>
  <c r="H38" i="4"/>
  <c r="H36" i="4"/>
  <c r="Y36" i="4"/>
  <c r="Y19" i="4"/>
  <c r="AU7" i="6"/>
  <c r="AU14" i="6" s="1"/>
  <c r="AU7" i="5"/>
  <c r="AU13" i="5" s="1"/>
  <c r="AU7" i="4"/>
  <c r="AU20" i="4" s="1"/>
  <c r="AT31" i="6"/>
  <c r="AT39" i="6"/>
  <c r="AT42" i="6"/>
  <c r="AT31" i="5"/>
  <c r="AT40" i="5"/>
  <c r="AT43" i="5"/>
  <c r="AT31" i="4"/>
  <c r="AT45" i="4"/>
  <c r="AT52" i="4"/>
  <c r="AT55" i="4"/>
  <c r="AU19" i="6" l="1"/>
  <c r="AX19" i="6" s="1"/>
  <c r="AV7" i="6"/>
  <c r="AU8" i="6"/>
  <c r="AU12" i="6"/>
  <c r="AU20" i="6"/>
  <c r="AU13" i="6"/>
  <c r="AU18" i="6"/>
  <c r="AV7" i="5"/>
  <c r="AV12" i="5" s="1"/>
  <c r="AU12" i="5"/>
  <c r="AU16" i="5" s="1"/>
  <c r="AU20" i="5"/>
  <c r="AU8" i="5"/>
  <c r="AU14" i="5"/>
  <c r="AU18" i="5"/>
  <c r="AU19" i="5"/>
  <c r="AX19" i="5" s="1"/>
  <c r="AU19" i="4"/>
  <c r="AX19" i="4" s="1"/>
  <c r="AU12" i="4"/>
  <c r="AU13" i="4"/>
  <c r="AU14" i="4"/>
  <c r="AU18" i="4"/>
  <c r="AV7" i="4"/>
  <c r="AU8" i="4"/>
  <c r="Y57" i="4"/>
  <c r="Y45" i="5"/>
  <c r="AV13" i="5" l="1"/>
  <c r="AV14" i="5"/>
  <c r="AV8" i="5"/>
  <c r="AU17" i="6"/>
  <c r="AU16" i="6"/>
  <c r="AU15" i="6"/>
  <c r="AU11" i="6"/>
  <c r="AV14" i="6"/>
  <c r="AV18" i="6"/>
  <c r="AV13" i="6"/>
  <c r="AV20" i="6"/>
  <c r="AV12" i="6"/>
  <c r="AV8" i="6"/>
  <c r="AV19" i="6"/>
  <c r="AU15" i="5"/>
  <c r="AU17" i="5"/>
  <c r="AV18" i="5"/>
  <c r="AV19" i="5"/>
  <c r="AU11" i="5"/>
  <c r="AV20" i="5"/>
  <c r="AV15" i="5"/>
  <c r="AV11" i="5"/>
  <c r="AV17" i="5"/>
  <c r="AV16" i="5"/>
  <c r="AU11" i="4"/>
  <c r="AU15" i="4"/>
  <c r="AU17" i="4"/>
  <c r="AU16" i="4"/>
  <c r="AV18" i="4"/>
  <c r="AV14" i="4"/>
  <c r="AV8" i="4"/>
  <c r="AV13" i="4"/>
  <c r="AV20" i="4"/>
  <c r="AV12" i="4"/>
  <c r="AV19" i="4"/>
  <c r="Y30" i="5"/>
  <c r="AV17" i="6" l="1"/>
  <c r="AV16" i="6"/>
  <c r="AV15" i="6"/>
  <c r="AV11" i="6"/>
  <c r="AV16" i="4"/>
  <c r="AV15" i="4"/>
  <c r="AV17" i="4"/>
  <c r="AV11" i="4"/>
  <c r="B44" i="6"/>
  <c r="Y46" i="5"/>
  <c r="F46" i="5"/>
  <c r="B46" i="5"/>
  <c r="Y58" i="4"/>
  <c r="B58" i="4"/>
  <c r="F58" i="4"/>
  <c r="H50" i="4" l="1"/>
  <c r="F50" i="4"/>
  <c r="Y46" i="4"/>
  <c r="Y32" i="5"/>
  <c r="F46" i="4"/>
  <c r="H38" i="5"/>
  <c r="F38" i="5"/>
  <c r="H32" i="5"/>
  <c r="F32" i="5"/>
  <c r="Y12" i="6"/>
  <c r="Y30" i="6"/>
  <c r="Y29" i="6"/>
  <c r="F44" i="5" l="1"/>
  <c r="F41" i="5"/>
  <c r="F39" i="5"/>
  <c r="F36" i="5"/>
  <c r="F35" i="5"/>
  <c r="F34" i="5"/>
  <c r="F33" i="5"/>
  <c r="F29" i="5"/>
  <c r="F28" i="5"/>
  <c r="F26" i="5"/>
  <c r="F48" i="4"/>
  <c r="F47" i="4"/>
  <c r="F51" i="4"/>
  <c r="F53" i="4"/>
  <c r="Y53" i="4"/>
  <c r="Y56" i="4"/>
  <c r="F42" i="4"/>
  <c r="F43" i="4"/>
  <c r="Y21" i="4"/>
  <c r="Y43" i="4"/>
  <c r="Y17" i="4"/>
  <c r="Y15" i="4"/>
  <c r="Y18" i="4"/>
  <c r="D17" i="4"/>
  <c r="D18" i="4"/>
  <c r="Y44" i="4"/>
  <c r="F34" i="4"/>
  <c r="F33" i="4"/>
  <c r="F32" i="4"/>
  <c r="F29" i="4"/>
  <c r="F27" i="4"/>
  <c r="F38" i="4"/>
  <c r="F37" i="4"/>
  <c r="Y29" i="4"/>
  <c r="Y30" i="4"/>
  <c r="F23" i="4"/>
  <c r="F22" i="5"/>
  <c r="Y44" i="5"/>
  <c r="Y41" i="5"/>
  <c r="Y20" i="5"/>
  <c r="B29" i="5"/>
  <c r="Y29" i="5"/>
  <c r="D18" i="5"/>
  <c r="Y18" i="5"/>
  <c r="D17" i="5"/>
  <c r="Y17" i="5"/>
  <c r="Y15" i="5"/>
  <c r="Y16" i="5" l="1"/>
  <c r="Y16" i="4"/>
  <c r="L7" i="6" l="1"/>
  <c r="B29" i="6" l="1"/>
  <c r="D17" i="6"/>
  <c r="D16" i="6"/>
  <c r="Y9" i="6"/>
  <c r="A29" i="6"/>
  <c r="Y28" i="6"/>
  <c r="Y26" i="6"/>
  <c r="B20" i="6"/>
  <c r="B19" i="6" s="1"/>
  <c r="D18" i="6"/>
  <c r="C18" i="6"/>
  <c r="C17" i="6"/>
  <c r="C16" i="6"/>
  <c r="Y28" i="5"/>
  <c r="B30" i="6" l="1"/>
  <c r="A30" i="6"/>
  <c r="Y27" i="6"/>
  <c r="H27" i="6"/>
  <c r="C16" i="5"/>
  <c r="D16" i="5" l="1"/>
  <c r="B30" i="5" s="1"/>
  <c r="F17" i="5"/>
  <c r="Y7" i="5"/>
  <c r="Y42" i="4" l="1"/>
  <c r="Y28" i="4"/>
  <c r="F56" i="4"/>
  <c r="A46" i="5"/>
  <c r="A29" i="5"/>
  <c r="Y26" i="5"/>
  <c r="F25" i="5"/>
  <c r="B20" i="5"/>
  <c r="Y27" i="5" s="1"/>
  <c r="C18" i="5"/>
  <c r="C17" i="5"/>
  <c r="F16" i="5"/>
  <c r="Y12" i="5"/>
  <c r="Y9" i="5"/>
  <c r="Y7" i="4"/>
  <c r="A30" i="5" l="1"/>
  <c r="B19" i="5"/>
  <c r="H27" i="5" s="1"/>
  <c r="F17" i="4"/>
  <c r="B43" i="4"/>
  <c r="A43" i="4"/>
  <c r="B29" i="4"/>
  <c r="A29" i="4"/>
  <c r="B30" i="4"/>
  <c r="F16" i="4"/>
  <c r="D16" i="4"/>
  <c r="B44" i="4" l="1"/>
  <c r="Y12" i="4"/>
  <c r="Y9" i="4"/>
  <c r="A58" i="4" l="1"/>
  <c r="Y27" i="4" l="1"/>
  <c r="A30" i="4"/>
  <c r="B21" i="4"/>
  <c r="Y41" i="4" s="1"/>
  <c r="F28" i="4"/>
  <c r="F26" i="4"/>
  <c r="C18" i="4"/>
  <c r="C17" i="4"/>
  <c r="C16" i="4"/>
  <c r="A44" i="4" l="1"/>
  <c r="B20" i="4"/>
  <c r="H41" i="4" l="1"/>
  <c r="R32" i="5" l="1"/>
  <c r="AU32" i="5" l="1"/>
  <c r="AT32" i="5"/>
  <c r="Q27" i="4" l="1"/>
  <c r="Q26" i="5" l="1"/>
  <c r="Q30" i="5" s="1"/>
  <c r="R33" i="5" s="1"/>
  <c r="A64" i="4"/>
  <c r="A65" i="4" s="1"/>
  <c r="AX26" i="4"/>
  <c r="Q30" i="4"/>
  <c r="B64" i="4"/>
  <c r="G63" i="4" s="1"/>
  <c r="AT27" i="4"/>
  <c r="AU27" i="4"/>
  <c r="R45" i="5" l="1"/>
  <c r="AT30" i="5"/>
  <c r="R29" i="5"/>
  <c r="AT29" i="5" s="1"/>
  <c r="AU30" i="5"/>
  <c r="R34" i="5"/>
  <c r="AU33" i="5"/>
  <c r="AT33" i="5"/>
  <c r="AU29" i="5"/>
  <c r="AU45" i="5"/>
  <c r="AT45" i="5"/>
  <c r="R27" i="5"/>
  <c r="A53" i="5"/>
  <c r="AT26" i="5"/>
  <c r="AU26" i="5"/>
  <c r="B53" i="5"/>
  <c r="AX26" i="5"/>
  <c r="AR62" i="4"/>
  <c r="G68" i="4"/>
  <c r="F68" i="4" s="1"/>
  <c r="J66" i="4"/>
  <c r="G66" i="4"/>
  <c r="F66" i="4" s="1"/>
  <c r="M67" i="4"/>
  <c r="H66" i="4"/>
  <c r="H67" i="4"/>
  <c r="G65" i="4"/>
  <c r="F65" i="4" s="1"/>
  <c r="K66" i="4"/>
  <c r="H63" i="4"/>
  <c r="L65" i="4"/>
  <c r="K64" i="4"/>
  <c r="K68" i="4"/>
  <c r="M66" i="4"/>
  <c r="L66" i="4"/>
  <c r="K63" i="4"/>
  <c r="M65" i="4"/>
  <c r="G67" i="4"/>
  <c r="F67" i="4" s="1"/>
  <c r="I65" i="4"/>
  <c r="I68" i="4"/>
  <c r="M63" i="4"/>
  <c r="F63" i="4" s="1"/>
  <c r="L64" i="4"/>
  <c r="J65" i="4"/>
  <c r="J63" i="4"/>
  <c r="J67" i="4"/>
  <c r="M68" i="4"/>
  <c r="G64" i="4"/>
  <c r="F64" i="4" s="1"/>
  <c r="L68" i="4"/>
  <c r="K65" i="4"/>
  <c r="H64" i="4"/>
  <c r="I64" i="4"/>
  <c r="I67" i="4"/>
  <c r="H68" i="4"/>
  <c r="K67" i="4"/>
  <c r="H65" i="4"/>
  <c r="M64" i="4"/>
  <c r="I66" i="4"/>
  <c r="J68" i="4"/>
  <c r="I63" i="4"/>
  <c r="A62" i="4"/>
  <c r="G61" i="4" s="1"/>
  <c r="P61" i="4" s="1"/>
  <c r="Z61" i="4" s="1"/>
  <c r="AI61" i="4" s="1"/>
  <c r="G70" i="4" s="1"/>
  <c r="P70" i="4" s="1"/>
  <c r="Z70" i="4" s="1"/>
  <c r="AI70" i="4" s="1"/>
  <c r="L63" i="4"/>
  <c r="L67" i="4"/>
  <c r="J64" i="4"/>
  <c r="A66" i="4"/>
  <c r="R29" i="4"/>
  <c r="AU30" i="4"/>
  <c r="R32" i="4"/>
  <c r="AT30" i="4"/>
  <c r="B65" i="4"/>
  <c r="B66" i="4" s="1"/>
  <c r="R28" i="5" l="1"/>
  <c r="R35" i="5"/>
  <c r="AU34" i="5"/>
  <c r="AT34" i="5"/>
  <c r="A54" i="5"/>
  <c r="B54" i="5"/>
  <c r="AU27" i="5"/>
  <c r="AT27" i="5"/>
  <c r="AR50" i="5"/>
  <c r="AU28" i="5"/>
  <c r="AT28" i="5"/>
  <c r="H51" i="5"/>
  <c r="K51" i="5"/>
  <c r="M51" i="5"/>
  <c r="F51" i="5" s="1"/>
  <c r="A50" i="5"/>
  <c r="G49" i="5" s="1"/>
  <c r="P49" i="5" s="1"/>
  <c r="Z49" i="5" s="1"/>
  <c r="AI49" i="5" s="1"/>
  <c r="G58" i="5" s="1"/>
  <c r="P58" i="5" s="1"/>
  <c r="Z58" i="5" s="1"/>
  <c r="AI58" i="5" s="1"/>
  <c r="I51" i="5"/>
  <c r="G51" i="5"/>
  <c r="L51" i="5"/>
  <c r="J51" i="5"/>
  <c r="I53" i="5"/>
  <c r="M52" i="5"/>
  <c r="I55" i="5"/>
  <c r="I54" i="5"/>
  <c r="K55" i="5"/>
  <c r="G56" i="5"/>
  <c r="F56" i="5" s="1"/>
  <c r="G52" i="5"/>
  <c r="F52" i="5" s="1"/>
  <c r="J54" i="5"/>
  <c r="J56" i="5"/>
  <c r="M56" i="5"/>
  <c r="I56" i="5"/>
  <c r="L55" i="5"/>
  <c r="K53" i="5"/>
  <c r="K54" i="5"/>
  <c r="M54" i="5"/>
  <c r="L53" i="5"/>
  <c r="G54" i="5"/>
  <c r="F54" i="5" s="1"/>
  <c r="J55" i="5"/>
  <c r="I52" i="5"/>
  <c r="J52" i="5"/>
  <c r="K52" i="5"/>
  <c r="H54" i="5"/>
  <c r="G55" i="5"/>
  <c r="F55" i="5" s="1"/>
  <c r="G53" i="5"/>
  <c r="F53" i="5" s="1"/>
  <c r="H56" i="5"/>
  <c r="L52" i="5"/>
  <c r="L54" i="5"/>
  <c r="K56" i="5"/>
  <c r="M53" i="5"/>
  <c r="L56" i="5"/>
  <c r="H55" i="5"/>
  <c r="M55" i="5"/>
  <c r="H52" i="5"/>
  <c r="H53" i="5"/>
  <c r="J53" i="5"/>
  <c r="AA64" i="4"/>
  <c r="Z68" i="4"/>
  <c r="Y68" i="4" s="1"/>
  <c r="AF64" i="4"/>
  <c r="AC66" i="4"/>
  <c r="AE66" i="4"/>
  <c r="AF68" i="4"/>
  <c r="AC64" i="4"/>
  <c r="Z63" i="4"/>
  <c r="AA65" i="4"/>
  <c r="AF67" i="4"/>
  <c r="AD66" i="4"/>
  <c r="AA66" i="4"/>
  <c r="AD67" i="4"/>
  <c r="AB66" i="4"/>
  <c r="AC65" i="4"/>
  <c r="AA67" i="4"/>
  <c r="AB65" i="4"/>
  <c r="AB63" i="4"/>
  <c r="AE65" i="4"/>
  <c r="AA68" i="4"/>
  <c r="AA63" i="4"/>
  <c r="AF66" i="4"/>
  <c r="AC67" i="4"/>
  <c r="AE67" i="4"/>
  <c r="AD64" i="4"/>
  <c r="Z67" i="4"/>
  <c r="Y67" i="4" s="1"/>
  <c r="AE63" i="4"/>
  <c r="AD63" i="4"/>
  <c r="Z64" i="4"/>
  <c r="Y64" i="4" s="1"/>
  <c r="Z65" i="4"/>
  <c r="Y65" i="4" s="1"/>
  <c r="AF63" i="4"/>
  <c r="Y63" i="4" s="1"/>
  <c r="AC63" i="4"/>
  <c r="AD68" i="4"/>
  <c r="AE64" i="4"/>
  <c r="AF65" i="4"/>
  <c r="AD65" i="4"/>
  <c r="AB67" i="4"/>
  <c r="AE68" i="4"/>
  <c r="Z66" i="4"/>
  <c r="Y66" i="4" s="1"/>
  <c r="AB68" i="4"/>
  <c r="AB64" i="4"/>
  <c r="AC68" i="4"/>
  <c r="R28" i="4"/>
  <c r="AU29" i="4"/>
  <c r="AT29" i="4"/>
  <c r="AT32" i="4"/>
  <c r="R33" i="4"/>
  <c r="AU32" i="4"/>
  <c r="B67" i="4"/>
  <c r="A67" i="4"/>
  <c r="Q67" i="4"/>
  <c r="Q68" i="4"/>
  <c r="T63" i="4"/>
  <c r="T64" i="4"/>
  <c r="R63" i="4"/>
  <c r="P65" i="4"/>
  <c r="O65" i="4" s="1"/>
  <c r="S68" i="4"/>
  <c r="P67" i="4"/>
  <c r="O67" i="4" s="1"/>
  <c r="W65" i="4"/>
  <c r="T68" i="4"/>
  <c r="P63" i="4"/>
  <c r="U66" i="4"/>
  <c r="S65" i="4"/>
  <c r="U67" i="4"/>
  <c r="S67" i="4"/>
  <c r="P68" i="4"/>
  <c r="O68" i="4" s="1"/>
  <c r="W68" i="4"/>
  <c r="U64" i="4"/>
  <c r="U63" i="4"/>
  <c r="P66" i="4"/>
  <c r="O66" i="4" s="1"/>
  <c r="R66" i="4"/>
  <c r="P64" i="4"/>
  <c r="O64" i="4" s="1"/>
  <c r="R64" i="4"/>
  <c r="Q63" i="4"/>
  <c r="Q65" i="4"/>
  <c r="S64" i="4"/>
  <c r="U65" i="4"/>
  <c r="T67" i="4"/>
  <c r="Q66" i="4"/>
  <c r="S66" i="4"/>
  <c r="T65" i="4"/>
  <c r="Q64" i="4"/>
  <c r="W67" i="4"/>
  <c r="W63" i="4"/>
  <c r="O63" i="4" s="1"/>
  <c r="R67" i="4"/>
  <c r="U68" i="4"/>
  <c r="R68" i="4"/>
  <c r="W66" i="4"/>
  <c r="T66" i="4"/>
  <c r="S63" i="4"/>
  <c r="R65" i="4"/>
  <c r="W64" i="4"/>
  <c r="R36" i="5" l="1"/>
  <c r="AU35" i="5"/>
  <c r="AT35" i="5"/>
  <c r="R56" i="5"/>
  <c r="U53" i="5"/>
  <c r="W56" i="5"/>
  <c r="P51" i="5"/>
  <c r="P56" i="5"/>
  <c r="O56" i="5" s="1"/>
  <c r="S55" i="5"/>
  <c r="U52" i="5"/>
  <c r="S51" i="5"/>
  <c r="W51" i="5"/>
  <c r="O51" i="5" s="1"/>
  <c r="S56" i="5"/>
  <c r="U56" i="5"/>
  <c r="Q52" i="5"/>
  <c r="T56" i="5"/>
  <c r="R52" i="5"/>
  <c r="U51" i="5"/>
  <c r="T53" i="5"/>
  <c r="T52" i="5"/>
  <c r="S53" i="5"/>
  <c r="P54" i="5"/>
  <c r="O54" i="5" s="1"/>
  <c r="R51" i="5"/>
  <c r="T54" i="5"/>
  <c r="P52" i="5"/>
  <c r="O52" i="5" s="1"/>
  <c r="R55" i="5"/>
  <c r="W53" i="5"/>
  <c r="Q55" i="5"/>
  <c r="S54" i="5"/>
  <c r="Q53" i="5"/>
  <c r="T55" i="5"/>
  <c r="Q56" i="5"/>
  <c r="W54" i="5"/>
  <c r="R54" i="5"/>
  <c r="U54" i="5"/>
  <c r="P53" i="5"/>
  <c r="O53" i="5" s="1"/>
  <c r="W55" i="5"/>
  <c r="Q54" i="5"/>
  <c r="U55" i="5"/>
  <c r="S52" i="5"/>
  <c r="T51" i="5"/>
  <c r="R53" i="5"/>
  <c r="Q51" i="5"/>
  <c r="W52" i="5"/>
  <c r="P55" i="5"/>
  <c r="O55" i="5" s="1"/>
  <c r="A55" i="5"/>
  <c r="B55" i="5"/>
  <c r="R34" i="4"/>
  <c r="AT33" i="4"/>
  <c r="AU33" i="4"/>
  <c r="AU28" i="4"/>
  <c r="AT28" i="4"/>
  <c r="B68" i="4"/>
  <c r="A68" i="4"/>
  <c r="AJ68" i="4"/>
  <c r="AO68" i="4"/>
  <c r="AI67" i="4"/>
  <c r="AH67" i="4" s="1"/>
  <c r="AK67" i="4"/>
  <c r="AM64" i="4"/>
  <c r="AJ63" i="4"/>
  <c r="AI63" i="4"/>
  <c r="AO64" i="4"/>
  <c r="AL64" i="4"/>
  <c r="AL67" i="4"/>
  <c r="AL68" i="4"/>
  <c r="AN63" i="4"/>
  <c r="AL66" i="4"/>
  <c r="AJ64" i="4"/>
  <c r="AK63" i="4"/>
  <c r="AJ67" i="4"/>
  <c r="AM67" i="4"/>
  <c r="AO67" i="4"/>
  <c r="AI66" i="4"/>
  <c r="AH66" i="4" s="1"/>
  <c r="AN64" i="4"/>
  <c r="AM63" i="4"/>
  <c r="AN66" i="4"/>
  <c r="AO66" i="4"/>
  <c r="AJ65" i="4"/>
  <c r="AL65" i="4"/>
  <c r="AI68" i="4"/>
  <c r="AH68" i="4" s="1"/>
  <c r="AO65" i="4"/>
  <c r="AL63" i="4"/>
  <c r="AM65" i="4"/>
  <c r="AN68" i="4"/>
  <c r="AK68" i="4"/>
  <c r="AK66" i="4"/>
  <c r="AO63" i="4"/>
  <c r="AH63" i="4" s="1"/>
  <c r="AJ66" i="4"/>
  <c r="AN67" i="4"/>
  <c r="AM66" i="4"/>
  <c r="AM68" i="4"/>
  <c r="AN65" i="4"/>
  <c r="AI64" i="4"/>
  <c r="AH64" i="4" s="1"/>
  <c r="AI65" i="4"/>
  <c r="AH65" i="4" s="1"/>
  <c r="AK65" i="4"/>
  <c r="AK64" i="4"/>
  <c r="R37" i="5" l="1"/>
  <c r="AU36" i="5"/>
  <c r="AT36" i="5"/>
  <c r="AF55" i="5"/>
  <c r="AC54" i="5"/>
  <c r="AE54" i="5"/>
  <c r="AA56" i="5"/>
  <c r="AA53" i="5"/>
  <c r="AB53" i="5"/>
  <c r="AE52" i="5"/>
  <c r="AD53" i="5"/>
  <c r="AF51" i="5"/>
  <c r="Y51" i="5" s="1"/>
  <c r="AF52" i="5"/>
  <c r="AD56" i="5"/>
  <c r="AA52" i="5"/>
  <c r="AB55" i="5"/>
  <c r="AE55" i="5"/>
  <c r="Z56" i="5"/>
  <c r="Y56" i="5" s="1"/>
  <c r="AF54" i="5"/>
  <c r="AB52" i="5"/>
  <c r="AE56" i="5"/>
  <c r="AC55" i="5"/>
  <c r="AD51" i="5"/>
  <c r="AB54" i="5"/>
  <c r="AD54" i="5"/>
  <c r="AC53" i="5"/>
  <c r="AF56" i="5"/>
  <c r="AF53" i="5"/>
  <c r="AA51" i="5"/>
  <c r="AA55" i="5"/>
  <c r="AC51" i="5"/>
  <c r="Z51" i="5"/>
  <c r="AA54" i="5"/>
  <c r="AB51" i="5"/>
  <c r="Z55" i="5"/>
  <c r="Y55" i="5" s="1"/>
  <c r="AC52" i="5"/>
  <c r="AE51" i="5"/>
  <c r="Z53" i="5"/>
  <c r="Y53" i="5" s="1"/>
  <c r="AC56" i="5"/>
  <c r="Z52" i="5"/>
  <c r="Y52" i="5" s="1"/>
  <c r="AD55" i="5"/>
  <c r="AD52" i="5"/>
  <c r="AE53" i="5"/>
  <c r="AB56" i="5"/>
  <c r="Z54" i="5"/>
  <c r="Y54" i="5" s="1"/>
  <c r="A56" i="5"/>
  <c r="B56" i="5"/>
  <c r="B69" i="4"/>
  <c r="A69" i="4"/>
  <c r="H73" i="4"/>
  <c r="L72" i="4"/>
  <c r="M74" i="4"/>
  <c r="J77" i="4"/>
  <c r="G73" i="4"/>
  <c r="F73" i="4" s="1"/>
  <c r="G72" i="4"/>
  <c r="L73" i="4"/>
  <c r="H72" i="4"/>
  <c r="J74" i="4"/>
  <c r="L76" i="4"/>
  <c r="K76" i="4"/>
  <c r="G74" i="4"/>
  <c r="F74" i="4" s="1"/>
  <c r="I72" i="4"/>
  <c r="I73" i="4"/>
  <c r="M73" i="4"/>
  <c r="M72" i="4"/>
  <c r="F72" i="4" s="1"/>
  <c r="J75" i="4"/>
  <c r="K77" i="4"/>
  <c r="L74" i="4"/>
  <c r="M77" i="4"/>
  <c r="K75" i="4"/>
  <c r="G75" i="4"/>
  <c r="F75" i="4" s="1"/>
  <c r="H76" i="4"/>
  <c r="I77" i="4"/>
  <c r="J72" i="4"/>
  <c r="G76" i="4"/>
  <c r="F76" i="4" s="1"/>
  <c r="M76" i="4"/>
  <c r="K74" i="4"/>
  <c r="M75" i="4"/>
  <c r="I75" i="4"/>
  <c r="H74" i="4"/>
  <c r="K72" i="4"/>
  <c r="J76" i="4"/>
  <c r="I74" i="4"/>
  <c r="L77" i="4"/>
  <c r="H75" i="4"/>
  <c r="J73" i="4"/>
  <c r="K73" i="4"/>
  <c r="H77" i="4"/>
  <c r="L75" i="4"/>
  <c r="G77" i="4"/>
  <c r="F77" i="4" s="1"/>
  <c r="I76" i="4"/>
  <c r="R35" i="4"/>
  <c r="R36" i="4" s="1"/>
  <c r="R37" i="4" s="1"/>
  <c r="AT34" i="4"/>
  <c r="AU34" i="4"/>
  <c r="R38" i="5" l="1"/>
  <c r="AU37" i="5"/>
  <c r="AT37" i="5"/>
  <c r="AI53" i="5"/>
  <c r="AH53" i="5" s="1"/>
  <c r="AK55" i="5"/>
  <c r="AN55" i="5"/>
  <c r="AL55" i="5"/>
  <c r="AN54" i="5"/>
  <c r="AK56" i="5"/>
  <c r="AL54" i="5"/>
  <c r="AM56" i="5"/>
  <c r="AM55" i="5"/>
  <c r="AM54" i="5"/>
  <c r="AO56" i="5"/>
  <c r="AK53" i="5"/>
  <c r="AL56" i="5"/>
  <c r="AN51" i="5"/>
  <c r="AL52" i="5"/>
  <c r="AK54" i="5"/>
  <c r="AL53" i="5"/>
  <c r="AJ54" i="5"/>
  <c r="AN52" i="5"/>
  <c r="AI54" i="5"/>
  <c r="AH54" i="5" s="1"/>
  <c r="AJ52" i="5"/>
  <c r="AN53" i="5"/>
  <c r="AM51" i="5"/>
  <c r="AI51" i="5"/>
  <c r="AK52" i="5"/>
  <c r="AO53" i="5"/>
  <c r="AO51" i="5"/>
  <c r="AH51" i="5" s="1"/>
  <c r="AJ51" i="5"/>
  <c r="AJ53" i="5"/>
  <c r="AI55" i="5"/>
  <c r="AH55" i="5" s="1"/>
  <c r="AI56" i="5"/>
  <c r="AH56" i="5" s="1"/>
  <c r="AL51" i="5"/>
  <c r="AM53" i="5"/>
  <c r="AO55" i="5"/>
  <c r="AO54" i="5"/>
  <c r="AI52" i="5"/>
  <c r="AH52" i="5" s="1"/>
  <c r="AJ55" i="5"/>
  <c r="AJ56" i="5"/>
  <c r="AM52" i="5"/>
  <c r="AK51" i="5"/>
  <c r="AO52" i="5"/>
  <c r="AN56" i="5"/>
  <c r="A57" i="5"/>
  <c r="B57" i="5"/>
  <c r="AT35" i="4"/>
  <c r="AU35" i="4"/>
  <c r="B70" i="4"/>
  <c r="A70" i="4"/>
  <c r="Q73" i="4"/>
  <c r="S76" i="4"/>
  <c r="S77" i="4"/>
  <c r="Q76" i="4"/>
  <c r="U77" i="4"/>
  <c r="R73" i="4"/>
  <c r="Q72" i="4"/>
  <c r="S74" i="4"/>
  <c r="W72" i="4"/>
  <c r="O72" i="4" s="1"/>
  <c r="U75" i="4"/>
  <c r="W76" i="4"/>
  <c r="Q77" i="4"/>
  <c r="Q75" i="4"/>
  <c r="R74" i="4"/>
  <c r="R76" i="4"/>
  <c r="S72" i="4"/>
  <c r="T74" i="4"/>
  <c r="P72" i="4"/>
  <c r="T77" i="4"/>
  <c r="W77" i="4"/>
  <c r="R77" i="4"/>
  <c r="P75" i="4"/>
  <c r="O75" i="4" s="1"/>
  <c r="U76" i="4"/>
  <c r="T76" i="4"/>
  <c r="Q74" i="4"/>
  <c r="S75" i="4"/>
  <c r="W74" i="4"/>
  <c r="T73" i="4"/>
  <c r="R75" i="4"/>
  <c r="T75" i="4"/>
  <c r="P76" i="4"/>
  <c r="O76" i="4" s="1"/>
  <c r="P77" i="4"/>
  <c r="O77" i="4" s="1"/>
  <c r="U74" i="4"/>
  <c r="U72" i="4"/>
  <c r="U73" i="4"/>
  <c r="R72" i="4"/>
  <c r="W75" i="4"/>
  <c r="W73" i="4"/>
  <c r="T72" i="4"/>
  <c r="P74" i="4"/>
  <c r="O74" i="4" s="1"/>
  <c r="S73" i="4"/>
  <c r="P73" i="4"/>
  <c r="O73" i="4" s="1"/>
  <c r="R27" i="6" l="1"/>
  <c r="Q39" i="5"/>
  <c r="AU38" i="5"/>
  <c r="AT38" i="5"/>
  <c r="AR51" i="5"/>
  <c r="I63" i="5"/>
  <c r="K60" i="5"/>
  <c r="H60" i="5"/>
  <c r="G65" i="5"/>
  <c r="F65" i="5" s="1"/>
  <c r="G63" i="5"/>
  <c r="F63" i="5" s="1"/>
  <c r="I61" i="5"/>
  <c r="M65" i="5"/>
  <c r="M62" i="5"/>
  <c r="I64" i="5"/>
  <c r="I60" i="5"/>
  <c r="M60" i="5"/>
  <c r="F60" i="5" s="1"/>
  <c r="K62" i="5"/>
  <c r="H65" i="5"/>
  <c r="L63" i="5"/>
  <c r="J64" i="5"/>
  <c r="H62" i="5"/>
  <c r="J61" i="5"/>
  <c r="K64" i="5"/>
  <c r="H64" i="5"/>
  <c r="K61" i="5"/>
  <c r="I62" i="5"/>
  <c r="G60" i="5"/>
  <c r="J60" i="5"/>
  <c r="J62" i="5"/>
  <c r="I65" i="5"/>
  <c r="L64" i="5"/>
  <c r="M63" i="5"/>
  <c r="M61" i="5"/>
  <c r="G64" i="5"/>
  <c r="F64" i="5" s="1"/>
  <c r="L60" i="5"/>
  <c r="H63" i="5"/>
  <c r="G62" i="5"/>
  <c r="F62" i="5" s="1"/>
  <c r="J65" i="5"/>
  <c r="K65" i="5"/>
  <c r="L65" i="5"/>
  <c r="L62" i="5"/>
  <c r="G61" i="5"/>
  <c r="F61" i="5" s="1"/>
  <c r="M64" i="5"/>
  <c r="H61" i="5"/>
  <c r="J63" i="5"/>
  <c r="K63" i="5"/>
  <c r="L61" i="5"/>
  <c r="B58" i="5"/>
  <c r="A58" i="5"/>
  <c r="A71" i="4"/>
  <c r="B71" i="4"/>
  <c r="AF75" i="4"/>
  <c r="AC73" i="4"/>
  <c r="AB77" i="4"/>
  <c r="AA74" i="4"/>
  <c r="AF72" i="4"/>
  <c r="Y72" i="4" s="1"/>
  <c r="AA76" i="4"/>
  <c r="AD72" i="4"/>
  <c r="AB73" i="4"/>
  <c r="AB74" i="4"/>
  <c r="AA75" i="4"/>
  <c r="AE73" i="4"/>
  <c r="Z76" i="4"/>
  <c r="Y76" i="4" s="1"/>
  <c r="Z74" i="4"/>
  <c r="Y74" i="4" s="1"/>
  <c r="AC74" i="4"/>
  <c r="AF74" i="4"/>
  <c r="AB72" i="4"/>
  <c r="AA72" i="4"/>
  <c r="AF73" i="4"/>
  <c r="AF76" i="4"/>
  <c r="AE77" i="4"/>
  <c r="AD75" i="4"/>
  <c r="AD74" i="4"/>
  <c r="AF77" i="4"/>
  <c r="AA73" i="4"/>
  <c r="AA77" i="4"/>
  <c r="AE74" i="4"/>
  <c r="AC77" i="4"/>
  <c r="Z77" i="4"/>
  <c r="Y77" i="4" s="1"/>
  <c r="Z72" i="4"/>
  <c r="Z75" i="4"/>
  <c r="Y75" i="4" s="1"/>
  <c r="Z73" i="4"/>
  <c r="Y73" i="4" s="1"/>
  <c r="AD73" i="4"/>
  <c r="AE72" i="4"/>
  <c r="AD77" i="4"/>
  <c r="AE75" i="4"/>
  <c r="AC72" i="4"/>
  <c r="AD76" i="4"/>
  <c r="AC75" i="4"/>
  <c r="AC76" i="4"/>
  <c r="AB76" i="4"/>
  <c r="AB75" i="4"/>
  <c r="AE76" i="4"/>
  <c r="AU37" i="4"/>
  <c r="AT37" i="4"/>
  <c r="Q38" i="4"/>
  <c r="AU27" i="6" l="1"/>
  <c r="AT27" i="6"/>
  <c r="R41" i="5"/>
  <c r="AU39" i="5"/>
  <c r="AT39" i="5"/>
  <c r="S60" i="5"/>
  <c r="P61" i="5"/>
  <c r="O61" i="5" s="1"/>
  <c r="Q62" i="5"/>
  <c r="R62" i="5"/>
  <c r="S62" i="5"/>
  <c r="R65" i="5"/>
  <c r="U65" i="5"/>
  <c r="Q64" i="5"/>
  <c r="W62" i="5"/>
  <c r="P60" i="5"/>
  <c r="W61" i="5"/>
  <c r="R60" i="5"/>
  <c r="T60" i="5"/>
  <c r="T63" i="5"/>
  <c r="P62" i="5"/>
  <c r="O62" i="5" s="1"/>
  <c r="U60" i="5"/>
  <c r="S64" i="5"/>
  <c r="T65" i="5"/>
  <c r="P64" i="5"/>
  <c r="O64" i="5" s="1"/>
  <c r="R63" i="5"/>
  <c r="S61" i="5"/>
  <c r="W65" i="5"/>
  <c r="Q60" i="5"/>
  <c r="W63" i="5"/>
  <c r="S63" i="5"/>
  <c r="U64" i="5"/>
  <c r="Q65" i="5"/>
  <c r="U63" i="5"/>
  <c r="W64" i="5"/>
  <c r="U61" i="5"/>
  <c r="R61" i="5"/>
  <c r="W60" i="5"/>
  <c r="O60" i="5" s="1"/>
  <c r="P63" i="5"/>
  <c r="O63" i="5" s="1"/>
  <c r="T61" i="5"/>
  <c r="U62" i="5"/>
  <c r="S65" i="5"/>
  <c r="P65" i="5"/>
  <c r="O65" i="5" s="1"/>
  <c r="T62" i="5"/>
  <c r="Q63" i="5"/>
  <c r="R64" i="5"/>
  <c r="Q61" i="5"/>
  <c r="T64" i="5"/>
  <c r="A59" i="5"/>
  <c r="B59" i="5"/>
  <c r="AR64" i="4"/>
  <c r="AR63" i="4"/>
  <c r="R41" i="4"/>
  <c r="AT38" i="4"/>
  <c r="Q44" i="4"/>
  <c r="AU38" i="4"/>
  <c r="AI77" i="4"/>
  <c r="AH77" i="4" s="1"/>
  <c r="AO74" i="4"/>
  <c r="AN74" i="4"/>
  <c r="AK75" i="4"/>
  <c r="AL73" i="4"/>
  <c r="AL76" i="4"/>
  <c r="AO76" i="4"/>
  <c r="AJ73" i="4"/>
  <c r="AN75" i="4"/>
  <c r="AM76" i="4"/>
  <c r="AK74" i="4"/>
  <c r="AI74" i="4"/>
  <c r="AH74" i="4" s="1"/>
  <c r="AN76" i="4"/>
  <c r="AI72" i="4"/>
  <c r="AO73" i="4"/>
  <c r="AJ76" i="4"/>
  <c r="AM72" i="4"/>
  <c r="AJ74" i="4"/>
  <c r="AM77" i="4"/>
  <c r="AK73" i="4"/>
  <c r="AJ75" i="4"/>
  <c r="AO72" i="4"/>
  <c r="AH72" i="4" s="1"/>
  <c r="AL72" i="4"/>
  <c r="AN72" i="4"/>
  <c r="AM73" i="4"/>
  <c r="AK72" i="4"/>
  <c r="AL74" i="4"/>
  <c r="AN73" i="4"/>
  <c r="AO75" i="4"/>
  <c r="AJ77" i="4"/>
  <c r="AO77" i="4"/>
  <c r="AM75" i="4"/>
  <c r="AJ72" i="4"/>
  <c r="AN77" i="4"/>
  <c r="AI73" i="4"/>
  <c r="AH73" i="4" s="1"/>
  <c r="AK76" i="4"/>
  <c r="AI76" i="4"/>
  <c r="AH76" i="4" s="1"/>
  <c r="AK77" i="4"/>
  <c r="AL75" i="4"/>
  <c r="AI75" i="4"/>
  <c r="AH75" i="4" s="1"/>
  <c r="AM74" i="4"/>
  <c r="AL77" i="4"/>
  <c r="B72" i="4"/>
  <c r="A72" i="4"/>
  <c r="Q42" i="5" l="1"/>
  <c r="AT41" i="5"/>
  <c r="AU41" i="5"/>
  <c r="AR52" i="5"/>
  <c r="AE65" i="5"/>
  <c r="AA64" i="5"/>
  <c r="AF64" i="5"/>
  <c r="AE61" i="5"/>
  <c r="AB62" i="5"/>
  <c r="AB60" i="5"/>
  <c r="Z63" i="5"/>
  <c r="Y63" i="5" s="1"/>
  <c r="AC63" i="5"/>
  <c r="AE60" i="5"/>
  <c r="AD63" i="5"/>
  <c r="Z62" i="5"/>
  <c r="Y62" i="5" s="1"/>
  <c r="AE62" i="5"/>
  <c r="AC65" i="5"/>
  <c r="AA60" i="5"/>
  <c r="Z64" i="5"/>
  <c r="Y64" i="5" s="1"/>
  <c r="AD61" i="5"/>
  <c r="AB61" i="5"/>
  <c r="AC62" i="5"/>
  <c r="AC61" i="5"/>
  <c r="AF65" i="5"/>
  <c r="AD60" i="5"/>
  <c r="AB63" i="5"/>
  <c r="AF61" i="5"/>
  <c r="AA62" i="5"/>
  <c r="AF62" i="5"/>
  <c r="AA63" i="5"/>
  <c r="AA65" i="5"/>
  <c r="AE63" i="5"/>
  <c r="AB64" i="5"/>
  <c r="AA61" i="5"/>
  <c r="AD65" i="5"/>
  <c r="Z60" i="5"/>
  <c r="AD64" i="5"/>
  <c r="AD62" i="5"/>
  <c r="AE64" i="5"/>
  <c r="AB65" i="5"/>
  <c r="Z65" i="5"/>
  <c r="Y65" i="5" s="1"/>
  <c r="AC60" i="5"/>
  <c r="Z61" i="5"/>
  <c r="Y61" i="5" s="1"/>
  <c r="AF63" i="5"/>
  <c r="AC64" i="5"/>
  <c r="AF60" i="5"/>
  <c r="Y60" i="5" s="1"/>
  <c r="B60" i="5"/>
  <c r="A60" i="5"/>
  <c r="AR66" i="4"/>
  <c r="R46" i="4"/>
  <c r="R57" i="4"/>
  <c r="AT44" i="4"/>
  <c r="AU44" i="4"/>
  <c r="R43" i="4"/>
  <c r="R47" i="4"/>
  <c r="AT41" i="4"/>
  <c r="AU41" i="4"/>
  <c r="AX42" i="5" l="1"/>
  <c r="AU42" i="5"/>
  <c r="AT42" i="5"/>
  <c r="R46" i="5"/>
  <c r="R44" i="5"/>
  <c r="AR54" i="5"/>
  <c r="B61" i="5"/>
  <c r="A61" i="5"/>
  <c r="AM61" i="5"/>
  <c r="AJ62" i="5"/>
  <c r="AJ61" i="5"/>
  <c r="AL62" i="5"/>
  <c r="AJ64" i="5"/>
  <c r="AN61" i="5"/>
  <c r="AL65" i="5"/>
  <c r="AK65" i="5"/>
  <c r="AI60" i="5"/>
  <c r="AM64" i="5"/>
  <c r="AO61" i="5"/>
  <c r="AN65" i="5"/>
  <c r="AL61" i="5"/>
  <c r="AN64" i="5"/>
  <c r="AJ63" i="5"/>
  <c r="AI64" i="5"/>
  <c r="AH64" i="5" s="1"/>
  <c r="AM62" i="5"/>
  <c r="AM65" i="5"/>
  <c r="AM63" i="5"/>
  <c r="AJ65" i="5"/>
  <c r="AI65" i="5"/>
  <c r="AH65" i="5" s="1"/>
  <c r="AO65" i="5"/>
  <c r="AI61" i="5"/>
  <c r="AH61" i="5" s="1"/>
  <c r="AI62" i="5"/>
  <c r="AH62" i="5" s="1"/>
  <c r="AO62" i="5"/>
  <c r="AL63" i="5"/>
  <c r="AN62" i="5"/>
  <c r="AO60" i="5"/>
  <c r="AH60" i="5" s="1"/>
  <c r="AO64" i="5"/>
  <c r="AO63" i="5"/>
  <c r="AN60" i="5"/>
  <c r="AK61" i="5"/>
  <c r="AL64" i="5"/>
  <c r="AK62" i="5"/>
  <c r="AI63" i="5"/>
  <c r="AH63" i="5" s="1"/>
  <c r="AM60" i="5"/>
  <c r="AN63" i="5"/>
  <c r="AK64" i="5"/>
  <c r="AK63" i="5"/>
  <c r="AJ60" i="5"/>
  <c r="AK60" i="5"/>
  <c r="AL60" i="5"/>
  <c r="AU46" i="4"/>
  <c r="AT46" i="4"/>
  <c r="AT47" i="4"/>
  <c r="AU47" i="4"/>
  <c r="R48" i="4"/>
  <c r="R42" i="4"/>
  <c r="AU43" i="4"/>
  <c r="AT43" i="4"/>
  <c r="AU57" i="4"/>
  <c r="AT57" i="4"/>
  <c r="AT44" i="5" l="1"/>
  <c r="AU44" i="5"/>
  <c r="AT46" i="5"/>
  <c r="AU46" i="5"/>
  <c r="AT42" i="4"/>
  <c r="AU42" i="4"/>
  <c r="AT48" i="4"/>
  <c r="AU48" i="4"/>
  <c r="R49" i="4"/>
  <c r="AR67" i="4" s="1"/>
  <c r="AU49" i="4" l="1"/>
  <c r="AT49" i="4"/>
  <c r="R50" i="4"/>
  <c r="AT50" i="4" l="1"/>
  <c r="Q51" i="4"/>
  <c r="AU50" i="4"/>
  <c r="AU51" i="4" l="1"/>
  <c r="AT51" i="4"/>
  <c r="R53" i="4"/>
  <c r="AR68" i="4" s="1"/>
  <c r="Q54" i="4" l="1"/>
  <c r="AU53" i="4"/>
  <c r="AT53" i="4"/>
  <c r="AR70" i="4" l="1"/>
  <c r="AX54" i="4"/>
  <c r="R58" i="4"/>
  <c r="R56" i="4"/>
  <c r="AT54" i="4"/>
  <c r="AU54" i="4"/>
  <c r="AU56" i="4" l="1"/>
  <c r="AT56" i="4"/>
  <c r="AU58" i="4"/>
  <c r="AT58" i="4"/>
  <c r="Q26" i="6" l="1"/>
  <c r="Q30" i="6" s="1"/>
  <c r="AU26" i="6" l="1"/>
  <c r="AX26" i="6"/>
  <c r="AR48" i="6" s="1"/>
  <c r="AT26" i="6"/>
  <c r="B51" i="6"/>
  <c r="R32" i="6"/>
  <c r="AT30" i="6"/>
  <c r="R33" i="6"/>
  <c r="R29" i="6"/>
  <c r="AU30" i="6"/>
  <c r="R43" i="6"/>
  <c r="A51" i="6"/>
  <c r="L52" i="6" s="1"/>
  <c r="H53" i="6" l="1"/>
  <c r="AT43" i="6"/>
  <c r="AU43" i="6"/>
  <c r="K52" i="6"/>
  <c r="A52" i="6"/>
  <c r="I54" i="6"/>
  <c r="B52" i="6"/>
  <c r="AU29" i="6"/>
  <c r="AT29" i="6"/>
  <c r="R28" i="6"/>
  <c r="J53" i="6"/>
  <c r="K49" i="6"/>
  <c r="H51" i="6"/>
  <c r="G54" i="6"/>
  <c r="F54" i="6" s="1"/>
  <c r="I49" i="6"/>
  <c r="K54" i="6"/>
  <c r="M52" i="6"/>
  <c r="H49" i="6"/>
  <c r="J51" i="6"/>
  <c r="R34" i="6"/>
  <c r="AU33" i="6"/>
  <c r="AT33" i="6"/>
  <c r="L50" i="6"/>
  <c r="G51" i="6"/>
  <c r="F51" i="6" s="1"/>
  <c r="G53" i="6"/>
  <c r="F53" i="6" s="1"/>
  <c r="I53" i="6"/>
  <c r="M50" i="6"/>
  <c r="I51" i="6"/>
  <c r="H54" i="6"/>
  <c r="G49" i="6"/>
  <c r="G52" i="6"/>
  <c r="F52" i="6" s="1"/>
  <c r="H50" i="6"/>
  <c r="K50" i="6"/>
  <c r="AU32" i="6"/>
  <c r="AT32" i="6"/>
  <c r="I50" i="6"/>
  <c r="M49" i="6"/>
  <c r="F49" i="6" s="1"/>
  <c r="K53" i="6"/>
  <c r="I52" i="6"/>
  <c r="J54" i="6"/>
  <c r="H52" i="6"/>
  <c r="G50" i="6"/>
  <c r="F50" i="6" s="1"/>
  <c r="J52" i="6"/>
  <c r="K51" i="6"/>
  <c r="M51" i="6"/>
  <c r="L49" i="6"/>
  <c r="M53" i="6"/>
  <c r="L51" i="6"/>
  <c r="M54" i="6"/>
  <c r="L53" i="6"/>
  <c r="J50" i="6"/>
  <c r="J49" i="6"/>
  <c r="L54" i="6"/>
  <c r="A48" i="6"/>
  <c r="G47" i="6" s="1"/>
  <c r="P47" i="6" s="1"/>
  <c r="Z47" i="6" s="1"/>
  <c r="AI47" i="6" s="1"/>
  <c r="G56" i="6" s="1"/>
  <c r="P56" i="6" s="1"/>
  <c r="Z56" i="6" s="1"/>
  <c r="AI56" i="6" s="1"/>
  <c r="B53" i="6" l="1"/>
  <c r="A53" i="6"/>
  <c r="R35" i="6"/>
  <c r="AT34" i="6"/>
  <c r="AU34" i="6"/>
  <c r="R54" i="6"/>
  <c r="S54" i="6"/>
  <c r="P49" i="6"/>
  <c r="U49" i="6"/>
  <c r="R52" i="6"/>
  <c r="U53" i="6"/>
  <c r="P52" i="6"/>
  <c r="O52" i="6" s="1"/>
  <c r="R49" i="6"/>
  <c r="P53" i="6"/>
  <c r="O53" i="6" s="1"/>
  <c r="S52" i="6"/>
  <c r="W49" i="6"/>
  <c r="O49" i="6" s="1"/>
  <c r="W54" i="6"/>
  <c r="P54" i="6"/>
  <c r="O54" i="6" s="1"/>
  <c r="P51" i="6"/>
  <c r="O51" i="6" s="1"/>
  <c r="U51" i="6"/>
  <c r="R50" i="6"/>
  <c r="Q50" i="6"/>
  <c r="S53" i="6"/>
  <c r="W53" i="6"/>
  <c r="S49" i="6"/>
  <c r="T50" i="6"/>
  <c r="Q53" i="6"/>
  <c r="T49" i="6"/>
  <c r="R51" i="6"/>
  <c r="P50" i="6"/>
  <c r="O50" i="6" s="1"/>
  <c r="W52" i="6"/>
  <c r="Q51" i="6"/>
  <c r="U54" i="6"/>
  <c r="S51" i="6"/>
  <c r="U50" i="6"/>
  <c r="T54" i="6"/>
  <c r="S50" i="6"/>
  <c r="W50" i="6"/>
  <c r="T53" i="6"/>
  <c r="R53" i="6"/>
  <c r="U52" i="6"/>
  <c r="Q49" i="6"/>
  <c r="Q54" i="6"/>
  <c r="T51" i="6"/>
  <c r="Q52" i="6"/>
  <c r="T52" i="6"/>
  <c r="W51" i="6"/>
  <c r="AT28" i="6"/>
  <c r="AU28" i="6"/>
  <c r="R36" i="6" l="1"/>
  <c r="AU35" i="6"/>
  <c r="AT35" i="6"/>
  <c r="A54" i="6"/>
  <c r="B54" i="6"/>
  <c r="AB52" i="6"/>
  <c r="Z54" i="6"/>
  <c r="Y54" i="6" s="1"/>
  <c r="AE54" i="6"/>
  <c r="AD50" i="6"/>
  <c r="AB49" i="6"/>
  <c r="AD49" i="6"/>
  <c r="AE51" i="6"/>
  <c r="Z53" i="6"/>
  <c r="Y53" i="6" s="1"/>
  <c r="AD51" i="6"/>
  <c r="AA50" i="6"/>
  <c r="AF51" i="6"/>
  <c r="AF52" i="6"/>
  <c r="AE49" i="6"/>
  <c r="AE52" i="6"/>
  <c r="AC54" i="6"/>
  <c r="AA53" i="6"/>
  <c r="AF53" i="6"/>
  <c r="AC53" i="6"/>
  <c r="AF54" i="6"/>
  <c r="AF49" i="6"/>
  <c r="Y49" i="6" s="1"/>
  <c r="AB54" i="6"/>
  <c r="AB50" i="6"/>
  <c r="AE50" i="6"/>
  <c r="Z49" i="6"/>
  <c r="AB51" i="6"/>
  <c r="AA49" i="6"/>
  <c r="AC52" i="6"/>
  <c r="AC50" i="6"/>
  <c r="AC51" i="6"/>
  <c r="AA51" i="6"/>
  <c r="Z51" i="6"/>
  <c r="Y51" i="6" s="1"/>
  <c r="AF50" i="6"/>
  <c r="AD54" i="6"/>
  <c r="Z50" i="6"/>
  <c r="Y50" i="6" s="1"/>
  <c r="AA52" i="6"/>
  <c r="Z52" i="6"/>
  <c r="Y52" i="6" s="1"/>
  <c r="AD53" i="6"/>
  <c r="AA54" i="6"/>
  <c r="AC49" i="6"/>
  <c r="AE53" i="6"/>
  <c r="AD52" i="6"/>
  <c r="AB53" i="6"/>
  <c r="AO51" i="6" l="1"/>
  <c r="AM54" i="6"/>
  <c r="AN53" i="6"/>
  <c r="AL53" i="6"/>
  <c r="AK52" i="6"/>
  <c r="AL52" i="6"/>
  <c r="AI50" i="6"/>
  <c r="AH50" i="6" s="1"/>
  <c r="AL54" i="6"/>
  <c r="AO52" i="6"/>
  <c r="AN51" i="6"/>
  <c r="AJ51" i="6"/>
  <c r="AI52" i="6"/>
  <c r="AH52" i="6" s="1"/>
  <c r="AO53" i="6"/>
  <c r="AJ50" i="6"/>
  <c r="AL50" i="6"/>
  <c r="AK49" i="6"/>
  <c r="AN50" i="6"/>
  <c r="AN52" i="6"/>
  <c r="AM49" i="6"/>
  <c r="AM50" i="6"/>
  <c r="AI51" i="6"/>
  <c r="AH51" i="6" s="1"/>
  <c r="AL49" i="6"/>
  <c r="AO50" i="6"/>
  <c r="AI54" i="6"/>
  <c r="AH54" i="6" s="1"/>
  <c r="AJ53" i="6"/>
  <c r="AM51" i="6"/>
  <c r="AO54" i="6"/>
  <c r="AK53" i="6"/>
  <c r="AK54" i="6"/>
  <c r="AK51" i="6"/>
  <c r="AI49" i="6"/>
  <c r="AM52" i="6"/>
  <c r="AO49" i="6"/>
  <c r="AH49" i="6" s="1"/>
  <c r="AL51" i="6"/>
  <c r="AN54" i="6"/>
  <c r="AK50" i="6"/>
  <c r="AJ52" i="6"/>
  <c r="AN49" i="6"/>
  <c r="AJ49" i="6"/>
  <c r="AJ54" i="6"/>
  <c r="AM53" i="6"/>
  <c r="AI53" i="6"/>
  <c r="AH53" i="6" s="1"/>
  <c r="A55" i="6"/>
  <c r="B55" i="6"/>
  <c r="R37" i="6"/>
  <c r="AU36" i="6"/>
  <c r="AT36" i="6"/>
  <c r="AU37" i="6" l="1"/>
  <c r="AT37" i="6"/>
  <c r="L62" i="6"/>
  <c r="J59" i="6"/>
  <c r="K60" i="6"/>
  <c r="G61" i="6"/>
  <c r="F61" i="6" s="1"/>
  <c r="M61" i="6"/>
  <c r="M62" i="6"/>
  <c r="G60" i="6"/>
  <c r="F60" i="6" s="1"/>
  <c r="I63" i="6"/>
  <c r="L61" i="6"/>
  <c r="I60" i="6"/>
  <c r="J58" i="6"/>
  <c r="L58" i="6"/>
  <c r="J61" i="6"/>
  <c r="M58" i="6"/>
  <c r="F58" i="6" s="1"/>
  <c r="L60" i="6"/>
  <c r="H59" i="6"/>
  <c r="H58" i="6"/>
  <c r="J60" i="6"/>
  <c r="K58" i="6"/>
  <c r="K59" i="6"/>
  <c r="K62" i="6"/>
  <c r="I62" i="6"/>
  <c r="M59" i="6"/>
  <c r="I58" i="6"/>
  <c r="H60" i="6"/>
  <c r="J63" i="6"/>
  <c r="G62" i="6"/>
  <c r="F62" i="6" s="1"/>
  <c r="I61" i="6"/>
  <c r="I59" i="6"/>
  <c r="G63" i="6"/>
  <c r="F63" i="6" s="1"/>
  <c r="H62" i="6"/>
  <c r="K61" i="6"/>
  <c r="G58" i="6"/>
  <c r="K63" i="6"/>
  <c r="G59" i="6"/>
  <c r="F59" i="6" s="1"/>
  <c r="H63" i="6"/>
  <c r="L63" i="6"/>
  <c r="J62" i="6"/>
  <c r="M63" i="6"/>
  <c r="L59" i="6"/>
  <c r="M60" i="6"/>
  <c r="H61" i="6"/>
  <c r="A56" i="6"/>
  <c r="B56" i="6"/>
  <c r="Q62" i="6" l="1"/>
  <c r="U61" i="6"/>
  <c r="T60" i="6"/>
  <c r="S61" i="6"/>
  <c r="U62" i="6"/>
  <c r="P58" i="6"/>
  <c r="Q63" i="6"/>
  <c r="S59" i="6"/>
  <c r="Q60" i="6"/>
  <c r="R59" i="6"/>
  <c r="T59" i="6"/>
  <c r="R60" i="6"/>
  <c r="W60" i="6"/>
  <c r="U60" i="6"/>
  <c r="R58" i="6"/>
  <c r="S60" i="6"/>
  <c r="W63" i="6"/>
  <c r="S63" i="6"/>
  <c r="P59" i="6"/>
  <c r="O59" i="6" s="1"/>
  <c r="T58" i="6"/>
  <c r="P61" i="6"/>
  <c r="O61" i="6" s="1"/>
  <c r="T63" i="6"/>
  <c r="W58" i="6"/>
  <c r="O58" i="6" s="1"/>
  <c r="W62" i="6"/>
  <c r="T61" i="6"/>
  <c r="P60" i="6"/>
  <c r="O60" i="6" s="1"/>
  <c r="W59" i="6"/>
  <c r="Q59" i="6"/>
  <c r="Q58" i="6"/>
  <c r="U59" i="6"/>
  <c r="P63" i="6"/>
  <c r="O63" i="6" s="1"/>
  <c r="P62" i="6"/>
  <c r="O62" i="6" s="1"/>
  <c r="U63" i="6"/>
  <c r="U58" i="6"/>
  <c r="R62" i="6"/>
  <c r="Q61" i="6"/>
  <c r="S58" i="6"/>
  <c r="R63" i="6"/>
  <c r="T62" i="6"/>
  <c r="W61" i="6"/>
  <c r="S62" i="6"/>
  <c r="R61" i="6"/>
  <c r="A57" i="6"/>
  <c r="B57" i="6"/>
  <c r="AC63" i="6" l="1"/>
  <c r="AD62" i="6"/>
  <c r="AC58" i="6"/>
  <c r="AB63" i="6"/>
  <c r="AF61" i="6"/>
  <c r="AA60" i="6"/>
  <c r="Z63" i="6"/>
  <c r="Y63" i="6" s="1"/>
  <c r="AB60" i="6"/>
  <c r="AE60" i="6"/>
  <c r="Z62" i="6"/>
  <c r="Y62" i="6" s="1"/>
  <c r="AE58" i="6"/>
  <c r="AE59" i="6"/>
  <c r="AB59" i="6"/>
  <c r="Z61" i="6"/>
  <c r="Y61" i="6" s="1"/>
  <c r="AF58" i="6"/>
  <c r="Y58" i="6" s="1"/>
  <c r="AE61" i="6"/>
  <c r="AC61" i="6"/>
  <c r="AC62" i="6"/>
  <c r="Z58" i="6"/>
  <c r="AD60" i="6"/>
  <c r="AA61" i="6"/>
  <c r="AF63" i="6"/>
  <c r="AA58" i="6"/>
  <c r="AC60" i="6"/>
  <c r="AB61" i="6"/>
  <c r="AB62" i="6"/>
  <c r="AD63" i="6"/>
  <c r="AA62" i="6"/>
  <c r="AD58" i="6"/>
  <c r="Z59" i="6"/>
  <c r="Y59" i="6" s="1"/>
  <c r="AE62" i="6"/>
  <c r="AA63" i="6"/>
  <c r="AB58" i="6"/>
  <c r="AA59" i="6"/>
  <c r="AC59" i="6"/>
  <c r="AD59" i="6"/>
  <c r="AF62" i="6"/>
  <c r="Z60" i="6"/>
  <c r="Y60" i="6" s="1"/>
  <c r="AE63" i="6"/>
  <c r="AD61" i="6"/>
  <c r="AF60" i="6"/>
  <c r="AF59" i="6"/>
  <c r="A58" i="6"/>
  <c r="B58" i="6"/>
  <c r="AK60" i="6" l="1"/>
  <c r="AI62" i="6"/>
  <c r="AH62" i="6" s="1"/>
  <c r="AM63" i="6"/>
  <c r="AK62" i="6"/>
  <c r="AL60" i="6"/>
  <c r="AO59" i="6"/>
  <c r="AK61" i="6"/>
  <c r="AN58" i="6"/>
  <c r="AK59" i="6"/>
  <c r="AN59" i="6"/>
  <c r="AL61" i="6"/>
  <c r="AJ60" i="6"/>
  <c r="AN62" i="6"/>
  <c r="AK63" i="6"/>
  <c r="AM59" i="6"/>
  <c r="AI58" i="6"/>
  <c r="AJ63" i="6"/>
  <c r="AJ58" i="6"/>
  <c r="AI60" i="6"/>
  <c r="AH60" i="6" s="1"/>
  <c r="AK58" i="6"/>
  <c r="AJ62" i="6"/>
  <c r="AM62" i="6"/>
  <c r="AO60" i="6"/>
  <c r="AN63" i="6"/>
  <c r="AO63" i="6"/>
  <c r="AO58" i="6"/>
  <c r="AH58" i="6" s="1"/>
  <c r="AI59" i="6"/>
  <c r="AH59" i="6" s="1"/>
  <c r="AM61" i="6"/>
  <c r="AN60" i="6"/>
  <c r="AO62" i="6"/>
  <c r="AN61" i="6"/>
  <c r="AL62" i="6"/>
  <c r="AI63" i="6"/>
  <c r="AH63" i="6" s="1"/>
  <c r="AM58" i="6"/>
  <c r="AL58" i="6"/>
  <c r="AJ59" i="6"/>
  <c r="AM60" i="6"/>
  <c r="AI61" i="6"/>
  <c r="AH61" i="6" s="1"/>
  <c r="AJ61" i="6"/>
  <c r="AL63" i="6"/>
  <c r="AO61" i="6"/>
  <c r="AL59" i="6"/>
  <c r="B59" i="6"/>
  <c r="A59" i="6"/>
  <c r="Q38" i="6"/>
  <c r="R40" i="6"/>
  <c r="AT40" i="6" s="1"/>
  <c r="Q41" i="6"/>
  <c r="AX41" i="6" s="1"/>
  <c r="AR52" i="6" s="1"/>
  <c r="AR49" i="6"/>
  <c r="AT38" i="6"/>
  <c r="AU38" i="6"/>
  <c r="AU40" i="6" l="1"/>
  <c r="AU41" i="6"/>
  <c r="R44" i="6"/>
  <c r="AR50" i="6"/>
  <c r="AT41" i="6"/>
  <c r="AU44" i="6" l="1"/>
  <c r="AT44" i="6"/>
</calcChain>
</file>

<file path=xl/comments1.xml><?xml version="1.0" encoding="utf-8"?>
<comments xmlns="http://schemas.openxmlformats.org/spreadsheetml/2006/main">
  <authors>
    <author>W. de Groot</author>
  </authors>
  <commentList>
    <comment ref="AU7" authorId="0" shapeId="0">
      <text>
        <r>
          <rPr>
            <sz val="10"/>
            <color indexed="81"/>
            <rFont val="Arial"/>
            <family val="2"/>
          </rPr>
          <t>Hier komt vanzelf het kalenderjaar te staan van de datum  je in C5 invult. Met dit jaartal worden de feestdagen voor dit jaar berekend.</t>
        </r>
      </text>
    </comment>
    <comment ref="AV7" authorId="0" shapeId="0">
      <text>
        <r>
          <rPr>
            <sz val="10"/>
            <color indexed="81"/>
            <rFont val="Arial"/>
            <family val="2"/>
          </rPr>
          <t>Hier komt vanzelf het jaar volgend op het hierboven weergegeven jaar. Met dit jaartal worden de feestdagen voor dit jaar berekend.</t>
        </r>
      </text>
    </comment>
  </commentList>
</comments>
</file>

<file path=xl/comments2.xml><?xml version="1.0" encoding="utf-8"?>
<comments xmlns="http://schemas.openxmlformats.org/spreadsheetml/2006/main">
  <authors>
    <author>W. de Groot</author>
  </authors>
  <commentList>
    <comment ref="AU7" authorId="0" shapeId="0">
      <text>
        <r>
          <rPr>
            <sz val="10"/>
            <color indexed="81"/>
            <rFont val="Arial"/>
            <family val="2"/>
          </rPr>
          <t>Hier komt vanzelf het kalenderjaar te staan van de datum  je in C5 invult. Met dit jaartal worden de feestdagen voor dit jaar berekend.</t>
        </r>
      </text>
    </comment>
    <comment ref="AV7" authorId="0" shapeId="0">
      <text>
        <r>
          <rPr>
            <sz val="10"/>
            <color indexed="81"/>
            <rFont val="Arial"/>
            <family val="2"/>
          </rPr>
          <t>Hier komt vanzelf het jaar volgend op het hierboven weergegeven jaar. Met dit jaartal worden de feestdagen voor dit jaar berekend.</t>
        </r>
      </text>
    </comment>
  </commentList>
</comments>
</file>

<file path=xl/comments3.xml><?xml version="1.0" encoding="utf-8"?>
<comments xmlns="http://schemas.openxmlformats.org/spreadsheetml/2006/main">
  <authors>
    <author>W. de Groot</author>
  </authors>
  <commentList>
    <comment ref="AU7" authorId="0" shapeId="0">
      <text>
        <r>
          <rPr>
            <sz val="10"/>
            <color indexed="81"/>
            <rFont val="Arial"/>
            <family val="2"/>
          </rPr>
          <t>Hier komt vanzelf het kalenderjaar te staan van de datum  je in C5 invult. Met dit jaartal worden de feestdagen voor dit jaar berekend.</t>
        </r>
      </text>
    </comment>
    <comment ref="AV7" authorId="0" shapeId="0">
      <text>
        <r>
          <rPr>
            <sz val="10"/>
            <color indexed="81"/>
            <rFont val="Arial"/>
            <family val="2"/>
          </rPr>
          <t>Hier komt vanzelf het jaar volgend op het hierboven weergegeven jaar. Met dit jaartal worden de feestdagen voor dit jaar berekend.</t>
        </r>
      </text>
    </comment>
  </commentList>
</comments>
</file>

<file path=xl/sharedStrings.xml><?xml version="1.0" encoding="utf-8"?>
<sst xmlns="http://schemas.openxmlformats.org/spreadsheetml/2006/main" count="565" uniqueCount="188">
  <si>
    <t>Gunning</t>
  </si>
  <si>
    <t>gegevenskolommen, verbergen</t>
  </si>
  <si>
    <t>Planning gebaseerd op</t>
  </si>
  <si>
    <t>uitvoer:</t>
  </si>
  <si>
    <t>datum via kalender:</t>
  </si>
  <si>
    <t>datum handmatig:</t>
  </si>
  <si>
    <t>vooraank:</t>
  </si>
  <si>
    <t>elektr in:</t>
  </si>
  <si>
    <t>schouw:</t>
  </si>
  <si>
    <t>Procedure gebaseerd op</t>
  </si>
  <si>
    <t>Aanbestedingswet 2012 (europees)</t>
  </si>
  <si>
    <t>vragen om verduidelijking</t>
  </si>
  <si>
    <t>publicatie nota van inlichtingen</t>
  </si>
  <si>
    <t>EU</t>
  </si>
  <si>
    <t>NL</t>
  </si>
  <si>
    <t>toelichting</t>
  </si>
  <si>
    <t>stuk digi:</t>
  </si>
  <si>
    <t>toetsing compleetheid en uitsluitingscriteria</t>
  </si>
  <si>
    <t>beoordeling selectiecriteria</t>
  </si>
  <si>
    <t>toetsing geschiktheidseisen</t>
  </si>
  <si>
    <t>toetsing technische specificaties, eisen en normen</t>
  </si>
  <si>
    <t>beoordeling gunningscriterium</t>
  </si>
  <si>
    <t>Indienen verzoek tot deelneming</t>
  </si>
  <si>
    <t>Inschrijving</t>
  </si>
  <si>
    <t>inschrijving gestand tot</t>
  </si>
  <si>
    <t>belang?</t>
  </si>
  <si>
    <t>aankondiging van gegunde opdracht uiterlijk</t>
  </si>
  <si>
    <t>vaststelling gunningsadvies</t>
  </si>
  <si>
    <t>vaststelling selectieadvies</t>
  </si>
  <si>
    <t>basisgegevens</t>
  </si>
  <si>
    <t>urgent:</t>
  </si>
  <si>
    <t>let op of (bestuurlijke) besluitvorming nodig is en hoeveel tijd dit in beslag neemt</t>
  </si>
  <si>
    <t>einde opschortende termijn</t>
  </si>
  <si>
    <t>Start: datum verzending aankondiging</t>
  </si>
  <si>
    <t>Einde: datum gunning</t>
  </si>
  <si>
    <t>planning</t>
  </si>
  <si>
    <t>toelichting op de termijnen</t>
  </si>
  <si>
    <t>voeg extra dagen toe aan de minimumtermijnen en geef de benodigde dagen op voor toetsing, beoordeling en besluitvorming</t>
  </si>
  <si>
    <t>planningsbepalende gegevens</t>
  </si>
  <si>
    <t>voorwaardekolommen</t>
  </si>
  <si>
    <t>termijnkolommen</t>
  </si>
  <si>
    <t>verborgen kolommen</t>
  </si>
  <si>
    <r>
      <rPr>
        <b/>
        <sz val="11"/>
        <rFont val="Calibri"/>
        <family val="2"/>
      </rPr>
      <t>©</t>
    </r>
    <r>
      <rPr>
        <b/>
        <sz val="9.9"/>
        <rFont val="Times New Roman"/>
        <family val="1"/>
      </rPr>
      <t xml:space="preserve"> ToornendPartners</t>
    </r>
  </si>
  <si>
    <t>Deze Aanbestedingsplanner houdt geen rekening met feestdagen en vakantieperiodes</t>
  </si>
  <si>
    <t>Voeg extra dagen toe aan de minimumtermijnen en geef de benodigde dagen op voor toetsing, beoordeling en besluitvorming</t>
  </si>
  <si>
    <t>Let op of (bestuurlijke) besluitvorming nodig is en hoeveel tijd dit in beslag neemt</t>
  </si>
  <si>
    <t>Mededelen gunningsbeslissing</t>
  </si>
  <si>
    <t>De stappen en minimumtermijnen worden toegepast zoals vermeld in hoofdstuk 7 van het ARW</t>
  </si>
  <si>
    <t>Uitnodiging tot inschrijving</t>
  </si>
  <si>
    <t>ARW art.</t>
  </si>
  <si>
    <t>2.26.2</t>
  </si>
  <si>
    <t>Start: datum verzending uitnodiging</t>
  </si>
  <si>
    <t>toetsing compleetheid en uitsluitingsgronden</t>
  </si>
  <si>
    <t>7.3</t>
  </si>
  <si>
    <t>7.5.3: de inschrijvingstermijn mag worden verkort tot 10 dagen</t>
  </si>
  <si>
    <t>7.7</t>
  </si>
  <si>
    <t>ARW 2016 (hoofdstuk 2, nationaal)</t>
  </si>
  <si>
    <t>ARW 2016 (hoofdstuk 3, nationaal)</t>
  </si>
  <si>
    <t>ARW 2016 (hoofdstuk 7, nationaal)</t>
  </si>
  <si>
    <t>Nationale Meervoudig onderhandse procedure volgens ARW 2016 hoofdstuk 7</t>
  </si>
  <si>
    <t>7.8 tot en</t>
  </si>
  <si>
    <t>met 7.10</t>
  </si>
  <si>
    <t>7.11.2</t>
  </si>
  <si>
    <t>7.9.2: inschrijvingstermijn mag 2 dagen korter indien aanbestedingsstukken rechtstreeks digitaal beschikbaar zijn</t>
  </si>
  <si>
    <t>Het ARW geeft hiervoor bij de meervoudig onderhandse procedure geen verkortingsmogelijkheid</t>
  </si>
  <si>
    <t>7.11.4: inschrijvingstermijn moet verlengd worden opdat alle ondernemers kennis kunnen nemen van alle nodige informatie</t>
  </si>
  <si>
    <t>7.27.5</t>
  </si>
  <si>
    <t>7.20.1: gestanddoening 30 dagen</t>
  </si>
  <si>
    <t>7.21.2</t>
  </si>
  <si>
    <t>7.21.5: PV van opening uiterlijk 2 werkdagen na opening inschrijvingen verstrekken</t>
  </si>
  <si>
    <t>verstrekken proces-verbaal van opening</t>
  </si>
  <si>
    <t>1.4.3</t>
  </si>
  <si>
    <t>1.4.3: bewaartermijn van ten minste drie jaar na beeindiging van de procedure</t>
  </si>
  <si>
    <t>DISCLAIMER</t>
  </si>
  <si>
    <t>Deze Aanbestedingsplanner is met grote zorg gemaakt in microsoft excel versie 2013. Deze planner is niet getest met andere excelversies.</t>
  </si>
  <si>
    <t>Suggesties, aan- en opmerkingen voor verbetering zijn altijd welkom. Deze kunt u richten aan: info@toornend.com</t>
  </si>
  <si>
    <t>ToornendPartners</t>
  </si>
  <si>
    <t>Wagenweg 58</t>
  </si>
  <si>
    <t>2012 NG HAARLEM</t>
  </si>
  <si>
    <t>(023) 531 90 95</t>
  </si>
  <si>
    <t>Het verspreiden van deze Aanbestedingsplanner is toegestaan.</t>
  </si>
  <si>
    <t>Het aanpassen van formules en andere rekenregels in deze Aanbestedingsplanner is niet toegestaan.</t>
  </si>
  <si>
    <t>Deze Aanbestedingsplanner is gebaseerd op de minimumtermijnen die zijn opgenomen in de Aanbestedingswet 2012, gewijzigd 2016 en het Aanbestedingsreglement</t>
  </si>
  <si>
    <t xml:space="preserve">Werken 2016. Het toepassen van de minimumtermijnen is niet verplicht. Daarom is de mogelijkheid ingebouwd om de termijnen te verlengen. </t>
  </si>
  <si>
    <t>KvK: 34075253</t>
  </si>
  <si>
    <r>
      <rPr>
        <b/>
        <sz val="11"/>
        <rFont val="Times New Roman"/>
        <family val="1"/>
      </rPr>
      <t>ToornendPartners</t>
    </r>
    <r>
      <rPr>
        <sz val="11"/>
        <rFont val="Times New Roman"/>
        <family val="1"/>
      </rPr>
      <t xml:space="preserve"> is een projectmanagement- en adviesbureau voor bouwen en gebouwen. </t>
    </r>
  </si>
  <si>
    <r>
      <t xml:space="preserve">Deze Aanbestedingsplanner wordt u aangeboden door </t>
    </r>
    <r>
      <rPr>
        <b/>
        <sz val="11"/>
        <rFont val="Times New Roman"/>
        <family val="1"/>
      </rPr>
      <t>ToornendPartners</t>
    </r>
    <r>
      <rPr>
        <sz val="11"/>
        <rFont val="Times New Roman"/>
        <family val="1"/>
      </rPr>
      <t>.</t>
    </r>
  </si>
  <si>
    <t>kunnen ontstaan door het gebruik van deze Aanbestedingsplanner.</t>
  </si>
  <si>
    <r>
      <t xml:space="preserve">Het gebruik van deze Aanbestedingsplanner geschiedt geheel op eigen risico. </t>
    </r>
    <r>
      <rPr>
        <b/>
        <sz val="11"/>
        <rFont val="Times New Roman"/>
        <family val="1"/>
      </rPr>
      <t>ToornendPartners</t>
    </r>
    <r>
      <rPr>
        <sz val="11"/>
        <rFont val="Times New Roman"/>
        <family val="1"/>
      </rPr>
      <t xml:space="preserve"> is op generlei wijze aansprakelijk voor welke mogelijke schade die zou</t>
    </r>
  </si>
  <si>
    <t>www.toornend.com</t>
  </si>
  <si>
    <t>Revisies</t>
  </si>
  <si>
    <t>blad OP, artikelverwijzing inschrijvingstermijn EU aangepast</t>
  </si>
  <si>
    <t>blad NOP, standaard gestanddoening 50 dagen bij ARW ingevoerd</t>
  </si>
  <si>
    <t>kringverwijzing MO verwijderd</t>
  </si>
  <si>
    <t>Voorwerp van aanbesteding:</t>
  </si>
  <si>
    <t>Dossiernummer:</t>
  </si>
  <si>
    <t>Aanbesteder:</t>
  </si>
  <si>
    <t>velden voor vermelding AD, voorwerp aanbesteding en dossiernummer</t>
  </si>
  <si>
    <t>GEBRUIKSAANWIJZING</t>
  </si>
  <si>
    <t>Deze aanbestedingsplanner bestaat uit drie tabbladen: 1 voor de niet-openbare procedure, 1 voor de openbare procedure en 1 voor de meervoudig onderhandse procedure.</t>
  </si>
  <si>
    <t>Bij de (niet-)openbare procedure wordt de mogelijkheid geboden om te kiezen voor de doorlooptijden die gelden voor de Europese procedure of voor de nationale procedure.</t>
  </si>
  <si>
    <t>Procedurekeuze</t>
  </si>
  <si>
    <t>Kies de Aanbestedingswet voor de doorlooptijden van de Europese procedure of kies het ARW voor de doorlooptijden van de nationale procedure.</t>
  </si>
  <si>
    <t>Deze planner biedt de mogelijkheid om vooruit of achteruit te plannen:</t>
  </si>
  <si>
    <t>vanaf het begin van de procedure (start: datum verzending aankondiging) of vanaf het eind van de procedure (einde: datum gunning).</t>
  </si>
  <si>
    <t>Per procedurestap kan de doorlooptijd worden verlengd. Het is niet mogelijk om de doorlooptijden te verkorten, anders dan de daarvoor wettelijk geboden mogelijkheden.</t>
  </si>
  <si>
    <t>Het verlengen gebeurt door op het pijltjes naast het getal te klikken.</t>
  </si>
  <si>
    <t>De start- of einddatum van de planning kan met de kalendertool worden ingegeven of handmatig in het vak (dd-mm-jjjj). De kalendertool werkt niet in oudere excelversies</t>
  </si>
  <si>
    <t>De toelichting wordt automatisch aangepast aan de keuze voor de nationale of Europese procedure.</t>
  </si>
  <si>
    <t>gebruiksaanwijzing toegevoegd</t>
  </si>
  <si>
    <t>het betreffende artikel uit het gekozen aanbestedingskader.</t>
  </si>
  <si>
    <t>A. Basisgegevens</t>
  </si>
  <si>
    <t>A1. Doorlooptijden nationaal of Europees</t>
  </si>
  <si>
    <t>A2. Vooruit of achteruit plannen</t>
  </si>
  <si>
    <t>A3. Planningsdatum</t>
  </si>
  <si>
    <t>B. Planningsbepalende gegevens</t>
  </si>
  <si>
    <t>C. Planning</t>
  </si>
  <si>
    <t>D. Toelichting</t>
  </si>
  <si>
    <t>De toelichting bevat verwijzingen naar de relevante artikelen uit het gekozen aanbestedingskader: Aanbestedingswet of het ARW.</t>
  </si>
  <si>
    <t>datumkolommen, verbergen</t>
  </si>
  <si>
    <t>weekdag</t>
  </si>
  <si>
    <t>weeknummer</t>
  </si>
  <si>
    <t>Feestdagen</t>
  </si>
  <si>
    <t>Nieuwjaarsdag</t>
  </si>
  <si>
    <t>goede vrijdag</t>
  </si>
  <si>
    <t>2e Paasdag</t>
  </si>
  <si>
    <t>Koningsdag</t>
  </si>
  <si>
    <t>Bevrijdingsdag</t>
  </si>
  <si>
    <t>Hemelvaartsdag</t>
  </si>
  <si>
    <t>vrijdag na hemelvaart</t>
  </si>
  <si>
    <t>2e Pinksterdag</t>
  </si>
  <si>
    <t>1e Kerstdag</t>
  </si>
  <si>
    <t>2e Kerstdag</t>
  </si>
  <si>
    <t>Oudejaarsdag</t>
  </si>
  <si>
    <r>
      <t xml:space="preserve">weekenddagen zaterdag en zondag weergeven met </t>
    </r>
    <r>
      <rPr>
        <sz val="9"/>
        <color rgb="FFFF0000"/>
        <rFont val="Times New Roman"/>
        <family val="1"/>
      </rPr>
      <t>rode cijfers en letters</t>
    </r>
  </si>
  <si>
    <t>erkende feestdagen worden weergegeven op een rode achtergrond</t>
  </si>
  <si>
    <t>evenals de vrijdag na Hemelvaart en Oudjaarsdag</t>
  </si>
  <si>
    <t>vakanties</t>
  </si>
  <si>
    <t>mei</t>
  </si>
  <si>
    <t>kerst</t>
  </si>
  <si>
    <t>zomer</t>
  </si>
  <si>
    <t>de vakantieperioden (mei, zomer en kerst) worden aangegeven door een</t>
  </si>
  <si>
    <t>rood vlakje naast de datum</t>
  </si>
  <si>
    <t>opschorten?</t>
  </si>
  <si>
    <t>let op Nederlandse mei-, zomer- en kerstvakantieperiode, wisselend per regio!</t>
  </si>
  <si>
    <t>Revisie 2 met dank aan de suggesties en hulp van de Inkoopadviseur van de Gemeente Roerdalen.</t>
  </si>
  <si>
    <t>mogelijkheid opschortende termijn na selectiefase NOP</t>
  </si>
  <si>
    <t>Indien een datum een erkende nationale feestdag betreft, dan wordt die datum op een rode achtergrond weergegeven</t>
  </si>
  <si>
    <t>C1. Doorlooptijden aanpassen</t>
  </si>
  <si>
    <t>C2. Markeringen in de planning</t>
  </si>
  <si>
    <r>
      <t xml:space="preserve">Weekenddagen worden met </t>
    </r>
    <r>
      <rPr>
        <sz val="11"/>
        <color rgb="FFFF0000"/>
        <rFont val="Times New Roman"/>
        <family val="1"/>
      </rPr>
      <t>rode letters en cijfers</t>
    </r>
    <r>
      <rPr>
        <sz val="11"/>
        <rFont val="Times New Roman"/>
        <family val="1"/>
      </rPr>
      <t xml:space="preserve"> weergegeven.</t>
    </r>
  </si>
  <si>
    <t>Hier staat een aantal mogelijkheden die leiden tot verlenging of verkorting van de doorlooptijd. Het betreft de wettelijk geboden mogelijkheden hiervoor met verwijzing</t>
  </si>
  <si>
    <t>Bij de NOP wordt de mogelijkheid geboden om een niet-verplichte opschortende termijn in acht te nemen na de selectie.</t>
  </si>
  <si>
    <t xml:space="preserve">Indien een datum in een Nederlandse vakantieperiode (mei, zomer, kerst) valt, dan wordt achter de datum een rood blokje geplaatst. Let op: De gehele vakantieperiode </t>
  </si>
  <si>
    <r>
      <t xml:space="preserve">wordt gemarkeerd omdat de perioden per regio wisselen. De voorjaars- en herfstvakantie lopen landelijk en jaarlijks te veel uiteen en zijn daarom </t>
    </r>
    <r>
      <rPr>
        <b/>
        <sz val="11"/>
        <rFont val="Times New Roman"/>
        <family val="1"/>
      </rPr>
      <t>niet</t>
    </r>
    <r>
      <rPr>
        <sz val="11"/>
        <rFont val="Times New Roman"/>
        <family val="1"/>
      </rPr>
      <t xml:space="preserve"> opgenomen.</t>
    </r>
  </si>
  <si>
    <t>ma</t>
  </si>
  <si>
    <t>di</t>
  </si>
  <si>
    <t>wo</t>
  </si>
  <si>
    <t>do</t>
  </si>
  <si>
    <t>vr</t>
  </si>
  <si>
    <t>za</t>
  </si>
  <si>
    <t>zo</t>
  </si>
  <si>
    <t>Kalender</t>
  </si>
  <si>
    <t>Procedure gebaseerd op:</t>
  </si>
  <si>
    <t>Planning gebaseerd op:</t>
  </si>
  <si>
    <t>wk</t>
  </si>
  <si>
    <t>omdat kalenderdatum geen datum is</t>
  </si>
  <si>
    <t>doorlooptijden</t>
  </si>
  <si>
    <t>beoordeling 1e fase</t>
  </si>
  <si>
    <t>bezwaartermijn 1e fase</t>
  </si>
  <si>
    <t>inschrijftermijn</t>
  </si>
  <si>
    <t>1e fase, indienen verzoek</t>
  </si>
  <si>
    <t>2e fase, inschrijftermijn</t>
  </si>
  <si>
    <t>beoordeling</t>
  </si>
  <si>
    <t>bezwaartermijn 2e fase</t>
  </si>
  <si>
    <t>van publicatie tot gunning</t>
  </si>
  <si>
    <t>bezwaartermijn</t>
  </si>
  <si>
    <r>
      <t xml:space="preserve">De meervoudig onderhandse procedure kent </t>
    </r>
    <r>
      <rPr>
        <b/>
        <u/>
        <sz val="8"/>
        <rFont val="Arial"/>
        <family val="2"/>
      </rPr>
      <t>geen</t>
    </r>
    <r>
      <rPr>
        <sz val="8"/>
        <rFont val="Arial"/>
        <family val="2"/>
      </rPr>
      <t xml:space="preserve"> opschortende termijn. Het staat vrij en is verstandig om die toch toe te voegen.</t>
    </r>
  </si>
  <si>
    <t>van uitnodiging tot gunning</t>
  </si>
  <si>
    <t>kalenders toegevoegd met mijlpaalmarkeringen</t>
  </si>
  <si>
    <t>bewaartermijn documentatie aanbesteding</t>
  </si>
  <si>
    <t>Aankondiging overheidsopdracht</t>
  </si>
  <si>
    <t>mijlpaal</t>
  </si>
  <si>
    <t>mijlpaal in het weekend</t>
  </si>
  <si>
    <t>officiele feestdag</t>
  </si>
  <si>
    <t>vakantie, weeknummer is rood</t>
  </si>
  <si>
    <t>tussentijdse activiteit</t>
  </si>
  <si>
    <t>3-4-2017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</si>
</sst>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ddd\ dd/mm/yyyy"/>
    <numFmt numFmtId="166" formatCode="dddd\ dd\ mmmm\ yyyy"/>
    <numFmt numFmtId="167" formatCode="d\ mmm"/>
    <numFmt numFmtId="168" formatCode="d\ mmm\ yy"/>
    <numFmt numFmtId="169" formatCode="mmmm"/>
    <numFmt numFmtId="170" formatCode="d"/>
  </numFmts>
  <fonts count="24" x14ac:knownFonts="1">
    <font>
      <sz val="11"/>
      <name val="Times New Roman"/>
    </font>
    <font>
      <b/>
      <sz val="11"/>
      <name val="Times New Roman"/>
      <family val="1"/>
    </font>
    <font>
      <sz val="11"/>
      <name val="Times New Roman"/>
      <family val="1"/>
    </font>
    <font>
      <sz val="10"/>
      <name val="Times New Roman"/>
      <family val="1"/>
    </font>
    <font>
      <i/>
      <sz val="11"/>
      <name val="Times New Roman"/>
      <family val="1"/>
    </font>
    <font>
      <sz val="8"/>
      <color rgb="FF000000"/>
      <name val="Segoe UI"/>
      <family val="2"/>
    </font>
    <font>
      <sz val="8"/>
      <name val="Arial"/>
      <family val="2"/>
    </font>
    <font>
      <b/>
      <sz val="16"/>
      <name val="Times New Roman"/>
      <family val="1"/>
    </font>
    <font>
      <b/>
      <sz val="11"/>
      <name val="Calibri"/>
      <family val="2"/>
    </font>
    <font>
      <b/>
      <sz val="9.9"/>
      <name val="Times New Roman"/>
      <family val="1"/>
    </font>
    <font>
      <sz val="9"/>
      <name val="Times New Roman"/>
      <family val="1"/>
    </font>
    <font>
      <b/>
      <u/>
      <sz val="11"/>
      <name val="Times New Roman"/>
      <family val="1"/>
    </font>
    <font>
      <sz val="11"/>
      <color rgb="FFFF0000"/>
      <name val="Times New Roman"/>
      <family val="1"/>
    </font>
    <font>
      <sz val="11"/>
      <color indexed="8"/>
      <name val="Calibri"/>
      <family val="2"/>
    </font>
    <font>
      <sz val="10"/>
      <name val="Arial"/>
      <family val="2"/>
    </font>
    <font>
      <sz val="10"/>
      <color indexed="81"/>
      <name val="Arial"/>
      <family val="2"/>
    </font>
    <font>
      <sz val="9"/>
      <color rgb="FFFF0000"/>
      <name val="Times New Roman"/>
      <family val="1"/>
    </font>
    <font>
      <b/>
      <sz val="11"/>
      <color rgb="FFFF0000"/>
      <name val="Times New Roman"/>
      <family val="1"/>
    </font>
    <font>
      <sz val="11"/>
      <color theme="2" tint="-0.499984740745262"/>
      <name val="Times New Roman"/>
      <family val="1"/>
    </font>
    <font>
      <b/>
      <sz val="10"/>
      <name val="Times New Roman"/>
      <family val="1"/>
    </font>
    <font>
      <b/>
      <sz val="11"/>
      <color theme="0"/>
      <name val="Times New Roman"/>
      <family val="1"/>
    </font>
    <font>
      <b/>
      <sz val="9"/>
      <color rgb="FFFF0000"/>
      <name val="Times New Roman"/>
      <family val="1"/>
    </font>
    <font>
      <b/>
      <u/>
      <sz val="8"/>
      <name val="Arial"/>
      <family val="2"/>
    </font>
    <font>
      <b/>
      <sz val="9"/>
      <name val="Times New Roman"/>
      <family val="1"/>
    </font>
  </fonts>
  <fills count="23">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7575"/>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0"/>
        <bgColor indexed="64"/>
      </patternFill>
    </fill>
    <fill>
      <patternFill patternType="solid">
        <fgColor rgb="FFDAC2EC"/>
        <bgColor indexed="64"/>
      </patternFill>
    </fill>
    <fill>
      <patternFill patternType="solid">
        <fgColor indexed="26"/>
        <bgColor indexed="64"/>
      </patternFill>
    </fill>
    <fill>
      <patternFill patternType="solid">
        <fgColor indexed="43"/>
        <bgColor indexed="64"/>
      </patternFill>
    </fill>
    <fill>
      <patternFill patternType="solid">
        <fgColor rgb="FFF07070"/>
        <bgColor indexed="64"/>
      </patternFill>
    </fill>
    <fill>
      <patternFill patternType="solid">
        <fgColor rgb="FFF59595"/>
        <bgColor indexed="64"/>
      </patternFill>
    </fill>
    <fill>
      <patternFill patternType="solid">
        <fgColor rgb="FFEE8282"/>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1"/>
        <bgColor indexed="64"/>
      </patternFill>
    </fill>
    <fill>
      <patternFill patternType="solid">
        <fgColor theme="7" tint="0.59996337778862885"/>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39994506668294322"/>
      </left>
      <right/>
      <top style="medium">
        <color theme="9" tint="0.39994506668294322"/>
      </top>
      <bottom style="medium">
        <color theme="9" tint="0.39994506668294322"/>
      </bottom>
      <diagonal/>
    </border>
    <border>
      <left/>
      <right/>
      <top style="medium">
        <color theme="9" tint="0.39994506668294322"/>
      </top>
      <bottom style="medium">
        <color theme="9" tint="0.39994506668294322"/>
      </bottom>
      <diagonal/>
    </border>
    <border>
      <left/>
      <right style="medium">
        <color theme="9" tint="0.39994506668294322"/>
      </right>
      <top style="medium">
        <color theme="9" tint="0.39994506668294322"/>
      </top>
      <bottom style="medium">
        <color theme="9" tint="0.39994506668294322"/>
      </bottom>
      <diagonal/>
    </border>
    <border>
      <left style="medium">
        <color theme="7" tint="0.39994506668294322"/>
      </left>
      <right/>
      <top/>
      <bottom/>
      <diagonal/>
    </border>
    <border>
      <left/>
      <right style="medium">
        <color theme="7" tint="0.39991454817346722"/>
      </right>
      <top/>
      <bottom/>
      <diagonal/>
    </border>
    <border>
      <left style="medium">
        <color theme="7" tint="0.39994506668294322"/>
      </left>
      <right/>
      <top/>
      <bottom style="medium">
        <color theme="7" tint="0.39991454817346722"/>
      </bottom>
      <diagonal/>
    </border>
    <border>
      <left/>
      <right/>
      <top/>
      <bottom style="medium">
        <color theme="7" tint="0.39991454817346722"/>
      </bottom>
      <diagonal/>
    </border>
    <border>
      <left/>
      <right style="medium">
        <color theme="7" tint="0.39991454817346722"/>
      </right>
      <top/>
      <bottom style="medium">
        <color theme="7" tint="0.39991454817346722"/>
      </bottom>
      <diagonal/>
    </border>
    <border>
      <left style="medium">
        <color theme="8" tint="0.39994506668294322"/>
      </left>
      <right/>
      <top/>
      <bottom/>
      <diagonal/>
    </border>
    <border>
      <left/>
      <right style="medium">
        <color theme="8" tint="0.39994506668294322"/>
      </right>
      <top/>
      <bottom/>
      <diagonal/>
    </border>
    <border>
      <left style="medium">
        <color theme="8" tint="0.39994506668294322"/>
      </left>
      <right/>
      <top/>
      <bottom style="medium">
        <color theme="8" tint="0.39994506668294322"/>
      </bottom>
      <diagonal/>
    </border>
    <border>
      <left/>
      <right/>
      <top/>
      <bottom style="medium">
        <color theme="8" tint="0.39994506668294322"/>
      </bottom>
      <diagonal/>
    </border>
    <border>
      <left/>
      <right style="medium">
        <color theme="8" tint="0.39994506668294322"/>
      </right>
      <top/>
      <bottom style="medium">
        <color theme="8" tint="0.39994506668294322"/>
      </bottom>
      <diagonal/>
    </border>
    <border>
      <left/>
      <right style="medium">
        <color theme="7" tint="0.39994506668294322"/>
      </right>
      <top/>
      <bottom/>
      <diagonal/>
    </border>
    <border>
      <left style="medium">
        <color theme="9" tint="0.39994506668294322"/>
      </left>
      <right/>
      <top/>
      <bottom/>
      <diagonal/>
    </border>
    <border>
      <left/>
      <right style="medium">
        <color theme="9" tint="0.39994506668294322"/>
      </right>
      <top/>
      <bottom/>
      <diagonal/>
    </border>
    <border>
      <left/>
      <right/>
      <top/>
      <bottom style="medium">
        <color theme="9" tint="0.39994506668294322"/>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theme="5" tint="0.39994506668294322"/>
      </left>
      <right/>
      <top/>
      <bottom/>
      <diagonal/>
    </border>
    <border>
      <left/>
      <right style="medium">
        <color theme="5" tint="0.39994506668294322"/>
      </right>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thin">
        <color auto="1"/>
      </left>
      <right style="medium">
        <color theme="9" tint="0.39994506668294322"/>
      </right>
      <top style="thin">
        <color auto="1"/>
      </top>
      <bottom style="thin">
        <color auto="1"/>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style="medium">
        <color theme="9" tint="0.39994506668294322"/>
      </right>
      <top/>
      <bottom style="thin">
        <color auto="1"/>
      </bottom>
      <diagonal/>
    </border>
    <border>
      <left/>
      <right/>
      <top style="medium">
        <color theme="9" tint="0.399945066682943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theme="8" tint="0.39991454817346722"/>
      </bottom>
      <diagonal/>
    </border>
    <border>
      <left/>
      <right style="medium">
        <color theme="8" tint="0.39994506668294322"/>
      </right>
      <top/>
      <bottom style="medium">
        <color theme="8" tint="0.39991454817346722"/>
      </bottom>
      <diagonal/>
    </border>
    <border>
      <left style="medium">
        <color theme="8" tint="0.39994506668294322"/>
      </left>
      <right/>
      <top/>
      <bottom style="medium">
        <color theme="8" tint="0.39991454817346722"/>
      </bottom>
      <diagonal/>
    </border>
    <border>
      <left style="thin">
        <color auto="1"/>
      </left>
      <right style="medium">
        <color theme="9" tint="0.39994506668294322"/>
      </right>
      <top style="thin">
        <color auto="1"/>
      </top>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medium">
        <color theme="7" tint="0.39994506668294322"/>
      </left>
      <right/>
      <top style="medium">
        <color theme="7" tint="0.39994506668294322"/>
      </top>
      <bottom/>
      <diagonal/>
    </border>
    <border>
      <left/>
      <right/>
      <top style="medium">
        <color theme="7" tint="0.39994506668294322"/>
      </top>
      <bottom/>
      <diagonal/>
    </border>
    <border>
      <left/>
      <right style="medium">
        <color theme="7" tint="0.39994506668294322"/>
      </right>
      <top style="medium">
        <color theme="7" tint="0.39994506668294322"/>
      </top>
      <bottom/>
      <diagonal/>
    </border>
    <border>
      <left/>
      <right/>
      <top/>
      <bottom style="medium">
        <color theme="7" tint="0.39994506668294322"/>
      </bottom>
      <diagonal/>
    </border>
    <border>
      <left/>
      <right style="medium">
        <color theme="7" tint="0.39994506668294322"/>
      </right>
      <top/>
      <bottom style="medium">
        <color theme="7" tint="0.39994506668294322"/>
      </bottom>
      <diagonal/>
    </border>
    <border>
      <left style="medium">
        <color theme="7" tint="0.39991454817346722"/>
      </left>
      <right/>
      <top style="medium">
        <color theme="7" tint="0.39991454817346722"/>
      </top>
      <bottom/>
      <diagonal/>
    </border>
    <border>
      <left style="medium">
        <color theme="7" tint="0.39994506668294322"/>
      </left>
      <right style="medium">
        <color theme="7" tint="0.39991454817346722"/>
      </right>
      <top style="medium">
        <color theme="7" tint="0.39991454817346722"/>
      </top>
      <bottom/>
      <diagonal/>
    </border>
    <border>
      <left style="medium">
        <color theme="7" tint="0.39991454817346722"/>
      </left>
      <right/>
      <top/>
      <bottom/>
      <diagonal/>
    </border>
    <border>
      <left style="medium">
        <color theme="7" tint="0.39991454817346722"/>
      </left>
      <right/>
      <top/>
      <bottom style="medium">
        <color theme="7" tint="0.39991454817346722"/>
      </bottom>
      <diagonal/>
    </border>
    <border>
      <left style="medium">
        <color theme="5" tint="0.39994506668294322"/>
      </left>
      <right/>
      <top/>
      <bottom style="medium">
        <color theme="5" tint="0.39991454817346722"/>
      </bottom>
      <diagonal/>
    </border>
    <border>
      <left/>
      <right/>
      <top/>
      <bottom style="medium">
        <color theme="5" tint="0.39991454817346722"/>
      </bottom>
      <diagonal/>
    </border>
    <border>
      <left/>
      <right style="medium">
        <color theme="5" tint="0.39994506668294322"/>
      </right>
      <top/>
      <bottom style="medium">
        <color theme="5" tint="0.39991454817346722"/>
      </bottom>
      <diagonal/>
    </border>
    <border>
      <left style="medium">
        <color theme="9" tint="0.39994506668294322"/>
      </left>
      <right/>
      <top/>
      <bottom style="medium">
        <color theme="9" tint="0.39991454817346722"/>
      </bottom>
      <diagonal/>
    </border>
    <border>
      <left/>
      <right/>
      <top/>
      <bottom style="medium">
        <color theme="9" tint="0.39991454817346722"/>
      </bottom>
      <diagonal/>
    </border>
    <border>
      <left/>
      <right style="medium">
        <color theme="9" tint="0.39994506668294322"/>
      </right>
      <top/>
      <bottom style="medium">
        <color theme="9" tint="0.39991454817346722"/>
      </bottom>
      <diagonal/>
    </border>
    <border>
      <left style="medium">
        <color theme="7" tint="0.39994506668294322"/>
      </left>
      <right/>
      <top/>
      <bottom style="medium">
        <color theme="7" tint="0.39994506668294322"/>
      </bottom>
      <diagonal/>
    </border>
    <border>
      <left style="medium">
        <color theme="7" tint="0.59996337778862885"/>
      </left>
      <right/>
      <top style="medium">
        <color theme="7" tint="0.59996337778862885"/>
      </top>
      <bottom style="medium">
        <color theme="7" tint="0.59996337778862885"/>
      </bottom>
      <diagonal/>
    </border>
    <border>
      <left/>
      <right/>
      <top style="medium">
        <color theme="7" tint="0.59996337778862885"/>
      </top>
      <bottom style="medium">
        <color theme="7" tint="0.59996337778862885"/>
      </bottom>
      <diagonal/>
    </border>
    <border>
      <left/>
      <right style="medium">
        <color theme="7" tint="0.59996337778862885"/>
      </right>
      <top style="medium">
        <color theme="7" tint="0.59996337778862885"/>
      </top>
      <bottom style="medium">
        <color theme="7" tint="0.59996337778862885"/>
      </bottom>
      <diagonal/>
    </border>
    <border>
      <left/>
      <right/>
      <top style="medium">
        <color theme="7" tint="0.59996337778862885"/>
      </top>
      <bottom/>
      <diagonal/>
    </border>
    <border>
      <left style="thin">
        <color theme="1"/>
      </left>
      <right style="thin">
        <color theme="1"/>
      </right>
      <top style="thin">
        <color theme="1"/>
      </top>
      <bottom style="thin">
        <color theme="1"/>
      </bottom>
      <diagonal/>
    </border>
  </borders>
  <cellStyleXfs count="2">
    <xf numFmtId="0" fontId="0" fillId="0" borderId="0"/>
    <xf numFmtId="0" fontId="13" fillId="0" borderId="0"/>
  </cellStyleXfs>
  <cellXfs count="252">
    <xf numFmtId="0" fontId="0" fillId="0" borderId="0" xfId="0"/>
    <xf numFmtId="0" fontId="2" fillId="0" borderId="0" xfId="0" applyFont="1"/>
    <xf numFmtId="0" fontId="6" fillId="0" borderId="0" xfId="0" applyFont="1"/>
    <xf numFmtId="0" fontId="1" fillId="2" borderId="0" xfId="0" applyFont="1" applyFill="1" applyBorder="1" applyAlignment="1" applyProtection="1">
      <alignment horizontal="left"/>
    </xf>
    <xf numFmtId="0" fontId="0" fillId="6" borderId="0" xfId="0" applyFill="1"/>
    <xf numFmtId="0" fontId="7" fillId="8" borderId="0" xfId="0" applyFont="1" applyFill="1"/>
    <xf numFmtId="0" fontId="2" fillId="8" borderId="0" xfId="0" applyFont="1" applyFill="1"/>
    <xf numFmtId="0" fontId="3" fillId="2" borderId="0" xfId="0" applyFont="1" applyFill="1" applyBorder="1" applyAlignment="1" applyProtection="1">
      <alignment horizontal="left" indent="1"/>
    </xf>
    <xf numFmtId="0" fontId="1" fillId="2" borderId="0" xfId="0" applyFont="1" applyFill="1" applyBorder="1" applyProtection="1"/>
    <xf numFmtId="0" fontId="1" fillId="2" borderId="4" xfId="0" applyFont="1" applyFill="1" applyBorder="1"/>
    <xf numFmtId="0" fontId="0" fillId="2" borderId="5" xfId="0" applyFill="1" applyBorder="1"/>
    <xf numFmtId="164" fontId="0" fillId="2" borderId="5" xfId="0" applyNumberFormat="1" applyFill="1" applyBorder="1"/>
    <xf numFmtId="0" fontId="1" fillId="2" borderId="4" xfId="0" applyFont="1" applyFill="1" applyBorder="1" applyProtection="1"/>
    <xf numFmtId="0" fontId="1" fillId="2" borderId="4" xfId="0" applyFont="1" applyFill="1" applyBorder="1" applyAlignment="1" applyProtection="1">
      <alignment horizontal="left"/>
    </xf>
    <xf numFmtId="0" fontId="2" fillId="4" borderId="7" xfId="0" applyFont="1" applyFill="1" applyBorder="1"/>
    <xf numFmtId="0" fontId="0" fillId="4" borderId="7" xfId="0" applyFill="1" applyBorder="1"/>
    <xf numFmtId="0" fontId="1" fillId="6" borderId="7" xfId="0" applyFont="1" applyFill="1" applyBorder="1"/>
    <xf numFmtId="0" fontId="1" fillId="4" borderId="7" xfId="0" applyFont="1" applyFill="1" applyBorder="1"/>
    <xf numFmtId="0" fontId="6" fillId="4" borderId="7" xfId="0" applyFont="1" applyFill="1" applyBorder="1"/>
    <xf numFmtId="0" fontId="0" fillId="4" borderId="0" xfId="0" applyFill="1" applyBorder="1"/>
    <xf numFmtId="0" fontId="0" fillId="4" borderId="8" xfId="0" applyFill="1" applyBorder="1"/>
    <xf numFmtId="0" fontId="4" fillId="4" borderId="0" xfId="0" applyFont="1" applyFill="1" applyBorder="1"/>
    <xf numFmtId="0" fontId="6" fillId="4" borderId="0" xfId="0" applyFont="1" applyFill="1" applyBorder="1"/>
    <xf numFmtId="0" fontId="0" fillId="6" borderId="0" xfId="0" applyFill="1" applyBorder="1"/>
    <xf numFmtId="0" fontId="6" fillId="6" borderId="0" xfId="0" applyFont="1" applyFill="1" applyBorder="1"/>
    <xf numFmtId="0" fontId="0" fillId="6" borderId="8" xfId="0" applyFill="1" applyBorder="1"/>
    <xf numFmtId="0" fontId="2" fillId="4" borderId="0" xfId="0" applyFont="1" applyFill="1" applyBorder="1"/>
    <xf numFmtId="0" fontId="0" fillId="4" borderId="9" xfId="0" applyFill="1" applyBorder="1"/>
    <xf numFmtId="0" fontId="0" fillId="4" borderId="10" xfId="0" applyFill="1" applyBorder="1"/>
    <xf numFmtId="0" fontId="0" fillId="4" borderId="11" xfId="0" applyFill="1" applyBorder="1"/>
    <xf numFmtId="0" fontId="6" fillId="5" borderId="12" xfId="0" applyFont="1" applyFill="1" applyBorder="1"/>
    <xf numFmtId="0" fontId="0" fillId="5" borderId="0" xfId="0" applyFill="1" applyBorder="1"/>
    <xf numFmtId="0" fontId="0" fillId="5" borderId="13" xfId="0" applyFill="1" applyBorder="1"/>
    <xf numFmtId="0" fontId="0" fillId="5" borderId="12" xfId="0" applyFill="1" applyBorder="1"/>
    <xf numFmtId="0" fontId="6" fillId="5" borderId="14" xfId="0" applyFont="1" applyFill="1" applyBorder="1"/>
    <xf numFmtId="0" fontId="0" fillId="5" borderId="15" xfId="0" applyFill="1" applyBorder="1"/>
    <xf numFmtId="0" fontId="0" fillId="5" borderId="16" xfId="0" applyFill="1" applyBorder="1"/>
    <xf numFmtId="0" fontId="0" fillId="6" borderId="17" xfId="0" applyFill="1" applyBorder="1"/>
    <xf numFmtId="0" fontId="1" fillId="7" borderId="12" xfId="0" applyFont="1" applyFill="1" applyBorder="1"/>
    <xf numFmtId="0" fontId="0" fillId="7" borderId="0" xfId="0" applyFill="1" applyBorder="1"/>
    <xf numFmtId="0" fontId="0" fillId="7" borderId="13" xfId="0" applyFill="1" applyBorder="1"/>
    <xf numFmtId="0" fontId="1" fillId="8" borderId="18" xfId="0" applyFont="1" applyFill="1" applyBorder="1"/>
    <xf numFmtId="0" fontId="0" fillId="8" borderId="0" xfId="0" applyFill="1" applyBorder="1"/>
    <xf numFmtId="0" fontId="0" fillId="8" borderId="19" xfId="0" applyFill="1" applyBorder="1"/>
    <xf numFmtId="0" fontId="6" fillId="2" borderId="18" xfId="0" applyFont="1" applyFill="1" applyBorder="1"/>
    <xf numFmtId="0" fontId="0" fillId="2" borderId="0" xfId="0" applyFill="1" applyBorder="1"/>
    <xf numFmtId="0" fontId="0" fillId="2" borderId="19" xfId="0" applyFill="1" applyBorder="1"/>
    <xf numFmtId="0" fontId="3" fillId="2" borderId="0" xfId="0" applyFont="1" applyFill="1" applyBorder="1"/>
    <xf numFmtId="0" fontId="0" fillId="2" borderId="19" xfId="0" applyFill="1" applyBorder="1" applyAlignment="1">
      <alignment horizontal="center"/>
    </xf>
    <xf numFmtId="165" fontId="1" fillId="2" borderId="0" xfId="0" applyNumberFormat="1" applyFont="1" applyFill="1" applyBorder="1" applyProtection="1"/>
    <xf numFmtId="0" fontId="2" fillId="7" borderId="0" xfId="0" applyFont="1" applyFill="1" applyBorder="1"/>
    <xf numFmtId="0" fontId="2" fillId="7" borderId="13" xfId="0" applyFont="1" applyFill="1" applyBorder="1"/>
    <xf numFmtId="0" fontId="2" fillId="5" borderId="0" xfId="0" applyFont="1" applyFill="1" applyBorder="1"/>
    <xf numFmtId="0" fontId="2" fillId="5" borderId="12" xfId="0" applyFont="1" applyFill="1" applyBorder="1"/>
    <xf numFmtId="0" fontId="1" fillId="3" borderId="21" xfId="0" applyFont="1" applyFill="1" applyBorder="1"/>
    <xf numFmtId="0" fontId="0" fillId="3" borderId="0" xfId="0" applyFill="1" applyBorder="1"/>
    <xf numFmtId="0" fontId="0" fillId="3" borderId="22" xfId="0" applyFill="1" applyBorder="1"/>
    <xf numFmtId="0" fontId="2" fillId="9" borderId="21" xfId="0" applyFont="1" applyFill="1" applyBorder="1"/>
    <xf numFmtId="0" fontId="0" fillId="9" borderId="0" xfId="0" applyFill="1" applyBorder="1"/>
    <xf numFmtId="0" fontId="0" fillId="9" borderId="22" xfId="0" applyFill="1" applyBorder="1"/>
    <xf numFmtId="0" fontId="0" fillId="9" borderId="0" xfId="0" applyFill="1" applyBorder="1" applyProtection="1">
      <protection locked="0" hidden="1"/>
    </xf>
    <xf numFmtId="0" fontId="0" fillId="9" borderId="21" xfId="0" applyFill="1" applyBorder="1"/>
    <xf numFmtId="0" fontId="0" fillId="9" borderId="22" xfId="0" applyFill="1" applyBorder="1" applyProtection="1">
      <protection locked="0" hidden="1"/>
    </xf>
    <xf numFmtId="0" fontId="2" fillId="9" borderId="23" xfId="0" applyFont="1" applyFill="1" applyBorder="1"/>
    <xf numFmtId="0" fontId="0" fillId="9" borderId="24" xfId="0" applyFill="1" applyBorder="1" applyProtection="1">
      <protection locked="0" hidden="1"/>
    </xf>
    <xf numFmtId="0" fontId="0" fillId="9" borderId="25" xfId="0" applyFill="1" applyBorder="1"/>
    <xf numFmtId="0" fontId="1" fillId="11" borderId="26" xfId="0" applyFont="1" applyFill="1" applyBorder="1"/>
    <xf numFmtId="0" fontId="1" fillId="11" borderId="0" xfId="0" applyFont="1" applyFill="1" applyBorder="1"/>
    <xf numFmtId="0" fontId="0" fillId="11" borderId="0" xfId="0" applyFill="1" applyBorder="1"/>
    <xf numFmtId="0" fontId="0" fillId="11" borderId="27" xfId="0" applyFill="1" applyBorder="1"/>
    <xf numFmtId="0" fontId="1" fillId="10" borderId="26" xfId="0" applyFont="1" applyFill="1" applyBorder="1"/>
    <xf numFmtId="0" fontId="1" fillId="10" borderId="0" xfId="0" applyFont="1" applyFill="1" applyBorder="1"/>
    <xf numFmtId="0" fontId="0" fillId="10" borderId="0" xfId="0" applyFill="1" applyBorder="1"/>
    <xf numFmtId="0" fontId="0" fillId="10" borderId="27" xfId="0" applyFill="1" applyBorder="1"/>
    <xf numFmtId="0" fontId="0" fillId="10" borderId="26" xfId="0" applyFill="1" applyBorder="1"/>
    <xf numFmtId="0" fontId="0" fillId="10" borderId="26" xfId="0" applyFill="1" applyBorder="1" applyProtection="1">
      <protection locked="0" hidden="1"/>
    </xf>
    <xf numFmtId="0" fontId="0" fillId="10" borderId="0" xfId="0" applyFill="1" applyBorder="1" applyProtection="1">
      <protection locked="0" hidden="1"/>
    </xf>
    <xf numFmtId="0" fontId="2" fillId="10" borderId="26" xfId="0" applyFont="1" applyFill="1" applyBorder="1" applyProtection="1">
      <protection locked="0" hidden="1"/>
    </xf>
    <xf numFmtId="0" fontId="2" fillId="10" borderId="0" xfId="0" applyFont="1" applyFill="1" applyBorder="1" applyProtection="1">
      <protection locked="0" hidden="1"/>
    </xf>
    <xf numFmtId="0" fontId="7" fillId="8" borderId="28" xfId="0" applyFont="1" applyFill="1" applyBorder="1"/>
    <xf numFmtId="0" fontId="0" fillId="8" borderId="29" xfId="0" applyFill="1" applyBorder="1"/>
    <xf numFmtId="0" fontId="0" fillId="8" borderId="29" xfId="0" applyFill="1" applyBorder="1" applyAlignment="1">
      <alignment horizontal="right" indent="1"/>
    </xf>
    <xf numFmtId="0" fontId="2" fillId="8" borderId="29" xfId="0" applyFont="1" applyFill="1" applyBorder="1"/>
    <xf numFmtId="0" fontId="2" fillId="8" borderId="30" xfId="0" applyFont="1" applyFill="1" applyBorder="1"/>
    <xf numFmtId="0" fontId="0" fillId="12" borderId="0" xfId="0" applyFill="1"/>
    <xf numFmtId="0" fontId="2" fillId="12" borderId="0" xfId="0" applyFont="1" applyFill="1"/>
    <xf numFmtId="0" fontId="7" fillId="12" borderId="0" xfId="0" applyFont="1" applyFill="1"/>
    <xf numFmtId="0" fontId="0" fillId="12" borderId="0" xfId="0" applyFill="1" applyAlignment="1">
      <alignment horizontal="right" indent="1"/>
    </xf>
    <xf numFmtId="0" fontId="2" fillId="13" borderId="32" xfId="0" applyFont="1" applyFill="1" applyBorder="1"/>
    <xf numFmtId="0" fontId="0" fillId="13" borderId="33" xfId="0" applyFill="1" applyBorder="1"/>
    <xf numFmtId="0" fontId="0" fillId="13" borderId="34" xfId="0" applyFill="1" applyBorder="1"/>
    <xf numFmtId="0" fontId="0" fillId="13" borderId="35" xfId="0" applyFill="1" applyBorder="1"/>
    <xf numFmtId="0" fontId="0" fillId="13" borderId="0" xfId="0" applyFill="1" applyBorder="1"/>
    <xf numFmtId="0" fontId="0" fillId="13" borderId="36" xfId="0" applyFill="1" applyBorder="1"/>
    <xf numFmtId="0" fontId="0" fillId="13" borderId="37" xfId="0" applyFill="1" applyBorder="1"/>
    <xf numFmtId="0" fontId="0" fillId="13" borderId="38" xfId="0" applyFill="1" applyBorder="1"/>
    <xf numFmtId="0" fontId="0" fillId="13" borderId="39" xfId="0" applyFill="1" applyBorder="1"/>
    <xf numFmtId="0" fontId="2" fillId="13" borderId="35" xfId="0" applyFont="1" applyFill="1" applyBorder="1"/>
    <xf numFmtId="0" fontId="7" fillId="13" borderId="40" xfId="0" applyFont="1" applyFill="1" applyBorder="1"/>
    <xf numFmtId="0" fontId="0" fillId="13" borderId="41" xfId="0" applyFill="1" applyBorder="1"/>
    <xf numFmtId="0" fontId="0" fillId="13" borderId="42" xfId="0" applyFill="1" applyBorder="1"/>
    <xf numFmtId="0" fontId="2" fillId="0" borderId="33" xfId="0" applyFont="1" applyFill="1" applyBorder="1"/>
    <xf numFmtId="0" fontId="0" fillId="0" borderId="33" xfId="0" applyFill="1" applyBorder="1"/>
    <xf numFmtId="0" fontId="1" fillId="13" borderId="35" xfId="0" applyFont="1" applyFill="1" applyBorder="1"/>
    <xf numFmtId="0" fontId="0" fillId="12" borderId="31" xfId="0" applyFill="1" applyBorder="1" applyAlignment="1" applyProtection="1">
      <alignment horizontal="center"/>
      <protection locked="0"/>
    </xf>
    <xf numFmtId="0" fontId="0" fillId="0" borderId="41" xfId="0" applyFill="1" applyBorder="1"/>
    <xf numFmtId="0" fontId="1" fillId="13" borderId="32" xfId="0" applyFont="1" applyFill="1" applyBorder="1"/>
    <xf numFmtId="14" fontId="10" fillId="13" borderId="35" xfId="0" applyNumberFormat="1" applyFont="1" applyFill="1" applyBorder="1"/>
    <xf numFmtId="0" fontId="10" fillId="13" borderId="0" xfId="0" applyFont="1" applyFill="1" applyBorder="1"/>
    <xf numFmtId="0" fontId="10" fillId="13" borderId="36" xfId="0" applyFont="1" applyFill="1" applyBorder="1"/>
    <xf numFmtId="14" fontId="10" fillId="13" borderId="37" xfId="0" applyNumberFormat="1" applyFont="1" applyFill="1" applyBorder="1"/>
    <xf numFmtId="0" fontId="10" fillId="13" borderId="38" xfId="0" applyFont="1" applyFill="1" applyBorder="1"/>
    <xf numFmtId="0" fontId="10" fillId="13" borderId="39" xfId="0" applyFont="1" applyFill="1" applyBorder="1"/>
    <xf numFmtId="0" fontId="1" fillId="13" borderId="33" xfId="0" applyFont="1" applyFill="1" applyBorder="1"/>
    <xf numFmtId="0" fontId="0" fillId="10" borderId="0" xfId="0" applyFill="1" applyBorder="1" applyProtection="1">
      <protection hidden="1"/>
    </xf>
    <xf numFmtId="0" fontId="0" fillId="10" borderId="26" xfId="0" applyFill="1" applyBorder="1" applyProtection="1">
      <protection hidden="1"/>
    </xf>
    <xf numFmtId="0" fontId="0" fillId="0" borderId="0" xfId="0" applyBorder="1"/>
    <xf numFmtId="0" fontId="0" fillId="0" borderId="44" xfId="0" applyBorder="1"/>
    <xf numFmtId="0" fontId="0" fillId="0" borderId="45" xfId="0" applyBorder="1"/>
    <xf numFmtId="0" fontId="0" fillId="0" borderId="47" xfId="0" applyBorder="1"/>
    <xf numFmtId="0" fontId="0" fillId="0" borderId="49" xfId="0" applyBorder="1"/>
    <xf numFmtId="0" fontId="0" fillId="0" borderId="50" xfId="0" applyBorder="1"/>
    <xf numFmtId="0" fontId="11" fillId="13" borderId="35" xfId="0" applyFont="1" applyFill="1" applyBorder="1"/>
    <xf numFmtId="165" fontId="3" fillId="2" borderId="0" xfId="0" applyNumberFormat="1" applyFont="1" applyFill="1" applyBorder="1" applyAlignment="1" applyProtection="1">
      <alignment horizontal="right"/>
    </xf>
    <xf numFmtId="167" fontId="14" fillId="14" borderId="53" xfId="1" applyNumberFormat="1" applyFont="1" applyFill="1" applyBorder="1" applyAlignment="1"/>
    <xf numFmtId="0" fontId="14" fillId="15" borderId="3" xfId="1" applyFont="1" applyFill="1" applyBorder="1" applyAlignment="1"/>
    <xf numFmtId="0" fontId="14" fillId="15" borderId="53" xfId="1" applyFont="1" applyFill="1" applyBorder="1" applyAlignment="1"/>
    <xf numFmtId="167" fontId="14" fillId="14" borderId="54" xfId="1" applyNumberFormat="1" applyFont="1" applyFill="1" applyBorder="1" applyAlignment="1"/>
    <xf numFmtId="168" fontId="14" fillId="14" borderId="55" xfId="1" applyNumberFormat="1" applyFont="1" applyFill="1" applyBorder="1" applyAlignment="1"/>
    <xf numFmtId="167" fontId="14" fillId="14" borderId="56" xfId="1" applyNumberFormat="1" applyFont="1" applyFill="1" applyBorder="1" applyAlignment="1"/>
    <xf numFmtId="168" fontId="14" fillId="14" borderId="57" xfId="1" applyNumberFormat="1" applyFont="1" applyFill="1" applyBorder="1" applyAlignment="1"/>
    <xf numFmtId="0" fontId="14" fillId="14" borderId="58" xfId="1" applyFont="1" applyFill="1" applyBorder="1" applyAlignment="1"/>
    <xf numFmtId="168" fontId="14" fillId="14" borderId="59" xfId="1" applyNumberFormat="1" applyFont="1" applyFill="1" applyBorder="1" applyAlignment="1"/>
    <xf numFmtId="0" fontId="2" fillId="0" borderId="0" xfId="0" applyFont="1" applyFill="1" applyBorder="1"/>
    <xf numFmtId="0" fontId="0" fillId="5" borderId="60" xfId="0" applyFill="1" applyBorder="1"/>
    <xf numFmtId="0" fontId="0" fillId="5" borderId="61" xfId="0" applyFill="1" applyBorder="1"/>
    <xf numFmtId="0" fontId="6" fillId="5" borderId="62" xfId="0" applyFont="1" applyFill="1" applyBorder="1"/>
    <xf numFmtId="0" fontId="0" fillId="12" borderId="63" xfId="0" applyFill="1" applyBorder="1" applyAlignment="1" applyProtection="1">
      <alignment horizontal="center"/>
      <protection locked="0"/>
    </xf>
    <xf numFmtId="0" fontId="0" fillId="2" borderId="51" xfId="0" applyFill="1" applyBorder="1" applyAlignment="1">
      <alignment horizontal="center"/>
    </xf>
    <xf numFmtId="0" fontId="10" fillId="16" borderId="0" xfId="0" applyFont="1" applyFill="1" applyBorder="1"/>
    <xf numFmtId="0" fontId="0" fillId="17" borderId="0" xfId="0" applyFill="1" applyBorder="1"/>
    <xf numFmtId="0" fontId="2" fillId="13" borderId="35" xfId="0" applyFont="1" applyFill="1" applyBorder="1" applyAlignment="1">
      <alignment horizontal="left"/>
    </xf>
    <xf numFmtId="0" fontId="2" fillId="13" borderId="0" xfId="0" applyFont="1" applyFill="1" applyBorder="1" applyAlignment="1">
      <alignment horizontal="left"/>
    </xf>
    <xf numFmtId="0" fontId="2" fillId="18" borderId="35" xfId="0" applyFont="1" applyFill="1" applyBorder="1" applyAlignment="1">
      <alignment horizontal="left"/>
    </xf>
    <xf numFmtId="0" fontId="2" fillId="13" borderId="0" xfId="0" applyFont="1" applyFill="1" applyBorder="1"/>
    <xf numFmtId="0" fontId="2" fillId="17" borderId="0" xfId="0" applyFont="1" applyFill="1" applyBorder="1"/>
    <xf numFmtId="0" fontId="0" fillId="0" borderId="44" xfId="0"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49" xfId="0" applyFont="1" applyBorder="1" applyAlignment="1" applyProtection="1">
      <alignment horizontal="left"/>
      <protection locked="0"/>
    </xf>
    <xf numFmtId="164" fontId="0" fillId="0" borderId="1" xfId="0" applyNumberFormat="1" applyFill="1" applyBorder="1" applyAlignment="1" applyProtection="1">
      <alignment horizontal="right"/>
      <protection locked="0"/>
    </xf>
    <xf numFmtId="164" fontId="0" fillId="0" borderId="2" xfId="0" applyNumberFormat="1" applyFill="1" applyBorder="1" applyAlignment="1" applyProtection="1">
      <alignment horizontal="right"/>
      <protection locked="0"/>
    </xf>
    <xf numFmtId="164" fontId="0" fillId="0" borderId="3" xfId="0" applyNumberFormat="1" applyFill="1" applyBorder="1" applyAlignment="1" applyProtection="1">
      <alignment horizontal="right"/>
      <protection locked="0"/>
    </xf>
    <xf numFmtId="166" fontId="0" fillId="0" borderId="1" xfId="0" applyNumberFormat="1" applyFill="1" applyBorder="1" applyAlignment="1" applyProtection="1">
      <alignment horizontal="right"/>
      <protection locked="0"/>
    </xf>
    <xf numFmtId="166" fontId="0" fillId="0" borderId="2" xfId="0" applyNumberFormat="1" applyFill="1" applyBorder="1" applyAlignment="1" applyProtection="1">
      <alignment horizontal="right"/>
      <protection locked="0"/>
    </xf>
    <xf numFmtId="166" fontId="0" fillId="0" borderId="3" xfId="0" applyNumberFormat="1" applyFill="1" applyBorder="1" applyAlignment="1" applyProtection="1">
      <alignment horizontal="right"/>
      <protection locked="0"/>
    </xf>
    <xf numFmtId="0" fontId="0" fillId="0" borderId="0" xfId="0" applyAlignment="1">
      <alignment horizontal="center"/>
    </xf>
    <xf numFmtId="0" fontId="0" fillId="2" borderId="0" xfId="0" applyFill="1"/>
    <xf numFmtId="14" fontId="0" fillId="19" borderId="67" xfId="0" applyNumberFormat="1" applyFill="1" applyBorder="1"/>
    <xf numFmtId="14" fontId="0" fillId="19" borderId="0" xfId="0" applyNumberFormat="1" applyFill="1" applyBorder="1"/>
    <xf numFmtId="0" fontId="0" fillId="19" borderId="0" xfId="0" applyFill="1" applyBorder="1"/>
    <xf numFmtId="0" fontId="0" fillId="19" borderId="68" xfId="0" applyFill="1" applyBorder="1"/>
    <xf numFmtId="0" fontId="0" fillId="19" borderId="67" xfId="0" applyFill="1" applyBorder="1"/>
    <xf numFmtId="0" fontId="0" fillId="19" borderId="0" xfId="0" applyNumberFormat="1" applyFill="1" applyBorder="1"/>
    <xf numFmtId="0" fontId="0" fillId="19" borderId="69" xfId="0" applyFill="1" applyBorder="1"/>
    <xf numFmtId="0" fontId="0" fillId="19" borderId="70" xfId="0" applyFill="1" applyBorder="1"/>
    <xf numFmtId="0" fontId="0" fillId="19" borderId="71" xfId="0" applyFill="1" applyBorder="1"/>
    <xf numFmtId="0" fontId="0" fillId="20" borderId="65" xfId="0" applyFill="1" applyBorder="1"/>
    <xf numFmtId="0" fontId="0" fillId="20" borderId="66" xfId="0" applyFill="1" applyBorder="1"/>
    <xf numFmtId="0" fontId="1" fillId="20" borderId="64" xfId="0" applyFont="1" applyFill="1" applyBorder="1"/>
    <xf numFmtId="0" fontId="0" fillId="4" borderId="0" xfId="0" applyFill="1"/>
    <xf numFmtId="165" fontId="3" fillId="2" borderId="52" xfId="0" applyNumberFormat="1" applyFont="1" applyFill="1" applyBorder="1" applyAlignment="1" applyProtection="1">
      <alignment horizontal="right"/>
    </xf>
    <xf numFmtId="165" fontId="3" fillId="2" borderId="0" xfId="0" applyNumberFormat="1" applyFont="1" applyFill="1" applyBorder="1" applyAlignment="1" applyProtection="1">
      <alignment horizontal="right"/>
    </xf>
    <xf numFmtId="165" fontId="3" fillId="2" borderId="20" xfId="0" applyNumberFormat="1" applyFont="1" applyFill="1" applyBorder="1" applyAlignment="1" applyProtection="1">
      <alignment horizontal="right"/>
    </xf>
    <xf numFmtId="165" fontId="1" fillId="2" borderId="6" xfId="0" applyNumberFormat="1" applyFont="1" applyFill="1" applyBorder="1" applyAlignment="1" applyProtection="1">
      <alignment horizontal="right"/>
    </xf>
    <xf numFmtId="165" fontId="1" fillId="2" borderId="5" xfId="0" applyNumberFormat="1" applyFont="1" applyFill="1" applyBorder="1" applyAlignment="1" applyProtection="1">
      <alignment horizontal="right"/>
    </xf>
    <xf numFmtId="0" fontId="0" fillId="0" borderId="5" xfId="0" applyBorder="1" applyAlignment="1"/>
    <xf numFmtId="0" fontId="0" fillId="0" borderId="6" xfId="0" applyBorder="1" applyAlignment="1"/>
    <xf numFmtId="0" fontId="19" fillId="2" borderId="0" xfId="0" applyFont="1" applyFill="1" applyBorder="1" applyAlignment="1" applyProtection="1">
      <alignment horizontal="left" indent="1"/>
    </xf>
    <xf numFmtId="165" fontId="0" fillId="0" borderId="5" xfId="0" applyNumberFormat="1" applyBorder="1" applyAlignment="1"/>
    <xf numFmtId="165" fontId="0" fillId="0" borderId="6" xfId="0" applyNumberFormat="1" applyBorder="1" applyAlignment="1"/>
    <xf numFmtId="165" fontId="0" fillId="0" borderId="1" xfId="0" applyNumberFormat="1" applyFill="1" applyBorder="1" applyAlignment="1" applyProtection="1">
      <alignment horizontal="right"/>
      <protection locked="0"/>
    </xf>
    <xf numFmtId="165" fontId="0" fillId="0" borderId="2" xfId="0" applyNumberFormat="1" applyBorder="1" applyAlignment="1">
      <alignment horizontal="right"/>
    </xf>
    <xf numFmtId="165" fontId="0" fillId="0" borderId="3" xfId="0" applyNumberFormat="1" applyBorder="1" applyAlignment="1">
      <alignment horizontal="right"/>
    </xf>
    <xf numFmtId="165" fontId="0" fillId="0" borderId="0" xfId="0" applyNumberFormat="1"/>
    <xf numFmtId="0" fontId="1" fillId="6" borderId="0" xfId="0" applyFont="1" applyFill="1" applyBorder="1"/>
    <xf numFmtId="0" fontId="1" fillId="4" borderId="0" xfId="0" applyFont="1" applyFill="1" applyBorder="1"/>
    <xf numFmtId="0" fontId="7" fillId="8" borderId="29" xfId="0" applyFont="1" applyFill="1" applyBorder="1"/>
    <xf numFmtId="0" fontId="1" fillId="8" borderId="0" xfId="0" applyFont="1" applyFill="1" applyBorder="1"/>
    <xf numFmtId="0" fontId="6" fillId="2" borderId="0" xfId="0" applyFont="1" applyFill="1" applyBorder="1"/>
    <xf numFmtId="0" fontId="0" fillId="10" borderId="81" xfId="0" applyFill="1" applyBorder="1"/>
    <xf numFmtId="0" fontId="0" fillId="10" borderId="82" xfId="0" applyFill="1" applyBorder="1"/>
    <xf numFmtId="0" fontId="0" fillId="10" borderId="83" xfId="0" applyFill="1" applyBorder="1"/>
    <xf numFmtId="0" fontId="6" fillId="2" borderId="84" xfId="0" applyFont="1" applyFill="1" applyBorder="1"/>
    <xf numFmtId="0" fontId="0" fillId="2" borderId="85" xfId="0" applyFill="1" applyBorder="1"/>
    <xf numFmtId="0" fontId="0" fillId="2" borderId="86" xfId="0" applyFill="1" applyBorder="1"/>
    <xf numFmtId="0" fontId="6" fillId="2" borderId="85" xfId="0" applyFont="1" applyFill="1" applyBorder="1"/>
    <xf numFmtId="170" fontId="0" fillId="4" borderId="0" xfId="0" applyNumberFormat="1" applyFill="1" applyBorder="1" applyAlignment="1">
      <alignment horizontal="center"/>
    </xf>
    <xf numFmtId="170" fontId="18" fillId="4" borderId="0" xfId="0" applyNumberFormat="1" applyFont="1" applyFill="1" applyBorder="1" applyAlignment="1">
      <alignment horizontal="center"/>
    </xf>
    <xf numFmtId="170" fontId="18" fillId="4" borderId="17" xfId="0" applyNumberFormat="1" applyFont="1" applyFill="1" applyBorder="1" applyAlignment="1">
      <alignment horizontal="center"/>
    </xf>
    <xf numFmtId="170" fontId="0" fillId="4" borderId="75" xfId="0" applyNumberFormat="1" applyFill="1" applyBorder="1" applyAlignment="1">
      <alignment horizontal="center"/>
    </xf>
    <xf numFmtId="170" fontId="18" fillId="4" borderId="75" xfId="0" applyNumberFormat="1" applyFont="1" applyFill="1" applyBorder="1" applyAlignment="1">
      <alignment horizontal="center"/>
    </xf>
    <xf numFmtId="170" fontId="18" fillId="4" borderId="76" xfId="0" applyNumberFormat="1" applyFont="1" applyFill="1" applyBorder="1" applyAlignment="1">
      <alignment horizontal="center"/>
    </xf>
    <xf numFmtId="170" fontId="2" fillId="4" borderId="79" xfId="0" applyNumberFormat="1" applyFont="1" applyFill="1" applyBorder="1" applyAlignment="1">
      <alignment horizontal="left"/>
    </xf>
    <xf numFmtId="1" fontId="0" fillId="4" borderId="8" xfId="0" applyNumberFormat="1" applyFill="1" applyBorder="1" applyAlignment="1">
      <alignment horizontal="center"/>
    </xf>
    <xf numFmtId="170" fontId="0" fillId="4" borderId="79" xfId="0" applyNumberFormat="1" applyFill="1" applyBorder="1" applyAlignment="1">
      <alignment horizontal="left"/>
    </xf>
    <xf numFmtId="170" fontId="0" fillId="4" borderId="80" xfId="0" applyNumberFormat="1" applyFill="1" applyBorder="1" applyAlignment="1">
      <alignment horizontal="left"/>
    </xf>
    <xf numFmtId="170" fontId="18" fillId="4" borderId="76" xfId="0" applyNumberFormat="1" applyFont="1" applyFill="1" applyBorder="1" applyAlignment="1">
      <alignment horizontal="right"/>
    </xf>
    <xf numFmtId="0" fontId="0" fillId="4" borderId="88" xfId="0" applyFill="1" applyBorder="1" applyAlignment="1">
      <alignment horizontal="center"/>
    </xf>
    <xf numFmtId="0" fontId="0" fillId="4" borderId="89" xfId="0" applyFill="1" applyBorder="1" applyAlignment="1">
      <alignment horizontal="center"/>
    </xf>
    <xf numFmtId="0" fontId="18" fillId="4" borderId="89" xfId="0" applyFont="1" applyFill="1" applyBorder="1" applyAlignment="1">
      <alignment horizontal="center"/>
    </xf>
    <xf numFmtId="0" fontId="18" fillId="4" borderId="90" xfId="0" applyFont="1" applyFill="1" applyBorder="1" applyAlignment="1">
      <alignment horizontal="center"/>
    </xf>
    <xf numFmtId="0" fontId="0" fillId="22" borderId="72" xfId="0" applyFill="1" applyBorder="1"/>
    <xf numFmtId="169" fontId="1" fillId="22" borderId="73" xfId="0" applyNumberFormat="1" applyFont="1" applyFill="1" applyBorder="1" applyAlignment="1">
      <alignment horizontal="center"/>
    </xf>
    <xf numFmtId="0" fontId="0" fillId="22" borderId="73" xfId="0" applyFill="1" applyBorder="1" applyAlignment="1">
      <alignment horizontal="center"/>
    </xf>
    <xf numFmtId="0" fontId="0" fillId="22" borderId="74" xfId="0" applyFill="1" applyBorder="1" applyAlignment="1">
      <alignment horizontal="center"/>
    </xf>
    <xf numFmtId="0" fontId="0" fillId="22" borderId="73" xfId="0" applyFill="1" applyBorder="1" applyAlignment="1"/>
    <xf numFmtId="0" fontId="0" fillId="22" borderId="74" xfId="0" applyFill="1" applyBorder="1" applyAlignment="1"/>
    <xf numFmtId="0" fontId="1" fillId="22" borderId="77" xfId="0" applyFont="1" applyFill="1" applyBorder="1"/>
    <xf numFmtId="0" fontId="0" fillId="22" borderId="78" xfId="0" applyFill="1" applyBorder="1"/>
    <xf numFmtId="0" fontId="2" fillId="22" borderId="7" xfId="0" applyFont="1" applyFill="1" applyBorder="1" applyAlignment="1">
      <alignment horizontal="right"/>
    </xf>
    <xf numFmtId="170" fontId="0" fillId="4" borderId="91" xfId="0" applyNumberFormat="1" applyFill="1" applyBorder="1" applyAlignment="1">
      <alignment horizontal="center"/>
    </xf>
    <xf numFmtId="170" fontId="18" fillId="4" borderId="0" xfId="0" applyNumberFormat="1" applyFont="1" applyFill="1" applyBorder="1" applyAlignment="1">
      <alignment horizontal="center"/>
    </xf>
    <xf numFmtId="170" fontId="18" fillId="4" borderId="91" xfId="0" applyNumberFormat="1" applyFont="1" applyFill="1" applyBorder="1" applyAlignment="1">
      <alignment horizontal="center"/>
    </xf>
    <xf numFmtId="170" fontId="18" fillId="4" borderId="75" xfId="0" applyNumberFormat="1" applyFont="1" applyFill="1" applyBorder="1" applyAlignment="1">
      <alignment horizontal="center"/>
    </xf>
    <xf numFmtId="0" fontId="18" fillId="4" borderId="89" xfId="0" applyFont="1" applyFill="1" applyBorder="1" applyAlignment="1">
      <alignment horizontal="center"/>
    </xf>
    <xf numFmtId="0" fontId="3" fillId="0" borderId="52" xfId="0" applyFont="1" applyBorder="1" applyAlignment="1"/>
    <xf numFmtId="0" fontId="3" fillId="0" borderId="20" xfId="0" applyFont="1" applyBorder="1" applyAlignment="1"/>
    <xf numFmtId="170" fontId="2" fillId="4" borderId="0" xfId="0" applyNumberFormat="1" applyFont="1" applyFill="1" applyBorder="1" applyAlignment="1">
      <alignment horizontal="center"/>
    </xf>
    <xf numFmtId="1" fontId="17" fillId="4" borderId="8" xfId="0" applyNumberFormat="1" applyFont="1" applyFill="1" applyBorder="1" applyAlignment="1">
      <alignment horizontal="center"/>
    </xf>
    <xf numFmtId="1" fontId="20" fillId="21" borderId="8" xfId="0" applyNumberFormat="1" applyFont="1" applyFill="1" applyBorder="1" applyAlignment="1">
      <alignment horizontal="center"/>
    </xf>
    <xf numFmtId="0" fontId="23" fillId="22" borderId="7" xfId="0" applyFont="1" applyFill="1" applyBorder="1" applyAlignment="1">
      <alignment horizontal="right"/>
    </xf>
    <xf numFmtId="0" fontId="23" fillId="22" borderId="87" xfId="0" applyFont="1" applyFill="1" applyBorder="1" applyAlignment="1">
      <alignment horizontal="right"/>
    </xf>
    <xf numFmtId="1" fontId="21" fillId="22" borderId="8" xfId="0" applyNumberFormat="1" applyFont="1" applyFill="1" applyBorder="1" applyAlignment="1">
      <alignment horizontal="center"/>
    </xf>
    <xf numFmtId="1" fontId="1" fillId="4" borderId="92" xfId="0" applyNumberFormat="1" applyFont="1" applyFill="1" applyBorder="1" applyAlignment="1">
      <alignment horizontal="center"/>
    </xf>
    <xf numFmtId="1" fontId="1" fillId="3" borderId="8" xfId="0" applyNumberFormat="1" applyFont="1" applyFill="1" applyBorder="1" applyAlignment="1">
      <alignment horizontal="center"/>
    </xf>
    <xf numFmtId="0" fontId="1" fillId="0" borderId="44"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0" fillId="0" borderId="44" xfId="0" applyBorder="1" applyAlignment="1" applyProtection="1">
      <alignment horizontal="left"/>
      <protection locked="0"/>
    </xf>
    <xf numFmtId="0" fontId="1" fillId="0" borderId="43" xfId="0" applyFont="1" applyBorder="1" applyProtection="1"/>
    <xf numFmtId="0" fontId="0" fillId="0" borderId="44" xfId="0" applyBorder="1" applyProtection="1"/>
    <xf numFmtId="0" fontId="0" fillId="0" borderId="44" xfId="0" applyBorder="1" applyAlignment="1" applyProtection="1">
      <alignment horizontal="left"/>
    </xf>
    <xf numFmtId="0" fontId="1" fillId="0" borderId="46" xfId="0" applyFont="1" applyBorder="1" applyProtection="1"/>
    <xf numFmtId="0" fontId="0" fillId="0" borderId="0" xfId="0" applyProtection="1"/>
    <xf numFmtId="0" fontId="2" fillId="0" borderId="0" xfId="0" applyFont="1" applyBorder="1" applyProtection="1"/>
    <xf numFmtId="0" fontId="2" fillId="0" borderId="0" xfId="0" applyFont="1" applyBorder="1" applyAlignment="1" applyProtection="1">
      <alignment horizontal="left"/>
    </xf>
    <xf numFmtId="0" fontId="1" fillId="0" borderId="48" xfId="0" applyFont="1" applyBorder="1" applyProtection="1"/>
    <xf numFmtId="0" fontId="2" fillId="0" borderId="49" xfId="0" applyFont="1" applyBorder="1" applyProtection="1"/>
    <xf numFmtId="0" fontId="2" fillId="0" borderId="49" xfId="0" applyFont="1" applyBorder="1" applyAlignment="1" applyProtection="1">
      <alignment horizontal="left"/>
    </xf>
    <xf numFmtId="0" fontId="1" fillId="0" borderId="44" xfId="0" applyFont="1" applyBorder="1" applyProtection="1"/>
    <xf numFmtId="0" fontId="0" fillId="0" borderId="0" xfId="0" applyBorder="1" applyProtection="1"/>
    <xf numFmtId="0" fontId="0" fillId="0" borderId="49" xfId="0" applyBorder="1" applyProtection="1"/>
  </cellXfs>
  <cellStyles count="2">
    <cellStyle name="Standaard" xfId="0" builtinId="0"/>
    <cellStyle name="Standaard_gezamenlijke planning" xfId="1"/>
  </cellStyles>
  <dxfs count="224">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0"/>
      </font>
      <fill>
        <patternFill>
          <bgColor theme="1"/>
        </patternFill>
      </fill>
    </dxf>
    <dxf>
      <font>
        <b/>
        <i val="0"/>
        <color theme="0"/>
      </font>
      <fill>
        <patternFill>
          <bgColor theme="1"/>
        </patternFill>
      </fill>
      <border>
        <left/>
        <right/>
        <top/>
        <bottom/>
        <vertical/>
        <horizontal/>
      </border>
    </dxf>
    <dxf>
      <font>
        <b/>
        <i val="0"/>
        <color theme="0"/>
      </font>
      <fill>
        <patternFill>
          <bgColor theme="1"/>
        </patternFill>
      </fill>
      <border>
        <left/>
        <right/>
        <top/>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1"/>
        </patternFill>
      </fill>
    </dxf>
    <dxf>
      <font>
        <b/>
        <i val="0"/>
        <color theme="1"/>
      </font>
      <fill>
        <patternFill>
          <bgColor rgb="FFFF0000"/>
        </patternFill>
      </fill>
      <border>
        <left/>
        <right/>
        <top/>
        <bottom/>
        <vertical/>
        <horizontal/>
      </border>
    </dxf>
    <dxf>
      <font>
        <b/>
        <i val="0"/>
        <color theme="1"/>
      </font>
      <fill>
        <patternFill>
          <bgColor rgb="FFFF0000"/>
        </patternFill>
      </fill>
    </dxf>
    <dxf>
      <font>
        <b/>
        <i val="0"/>
        <color theme="1"/>
      </font>
      <fill>
        <patternFill>
          <bgColor rgb="FFFF0000"/>
        </patternFill>
      </fill>
    </dxf>
    <dxf>
      <font>
        <b/>
        <i val="0"/>
      </font>
      <border>
        <left style="thin">
          <color rgb="FFFF0000"/>
        </left>
        <right style="thin">
          <color rgb="FFFF0000"/>
        </right>
        <top style="thin">
          <color rgb="FFFF0000"/>
        </top>
        <bottom style="thin">
          <color rgb="FFFF0000"/>
        </bottom>
        <vertical/>
        <horizontal/>
      </border>
    </dxf>
    <dxf>
      <font>
        <b/>
        <i val="0"/>
      </font>
      <border>
        <left style="thin">
          <color rgb="FFFF0000"/>
        </left>
        <right style="thin">
          <color rgb="FFFF0000"/>
        </right>
        <top style="thin">
          <color rgb="FFFF0000"/>
        </top>
        <bottom style="thin">
          <color rgb="FFFF0000"/>
        </bottom>
        <vertical/>
        <horizontal/>
      </border>
    </dxf>
    <dxf>
      <font>
        <b/>
        <i val="0"/>
      </font>
      <border>
        <left style="thin">
          <color rgb="FFFF0000"/>
        </left>
        <right style="thin">
          <color rgb="FFFF0000"/>
        </right>
        <top style="thin">
          <color rgb="FFFF0000"/>
        </top>
        <bottom style="thin">
          <color rgb="FFFF0000"/>
        </bottom>
        <vertical/>
        <horizontal/>
      </border>
    </dxf>
    <dxf>
      <font>
        <b/>
        <i val="0"/>
        <color theme="1"/>
      </font>
      <fill>
        <patternFill>
          <bgColor rgb="FFFF0000"/>
        </patternFill>
      </fill>
    </dxf>
    <dxf>
      <fill>
        <patternFill>
          <bgColor theme="4" tint="0.79998168889431442"/>
        </patternFill>
      </fill>
    </dxf>
    <dxf>
      <fill>
        <patternFill>
          <bgColor theme="9" tint="0.59996337778862885"/>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fgColor auto="1"/>
          <bgColor rgb="FFF2A4A4"/>
        </patternFill>
      </fill>
    </dxf>
    <dxf>
      <font>
        <color rgb="FFFF0000"/>
      </font>
    </dxf>
    <dxf>
      <font>
        <color rgb="FFFF0000"/>
      </font>
    </dxf>
    <dxf>
      <fill>
        <patternFill>
          <fgColor auto="1"/>
          <bgColor rgb="FFF2A4A4"/>
        </patternFill>
      </fill>
    </dxf>
    <dxf>
      <font>
        <color rgb="FFFF0000"/>
      </font>
    </dxf>
    <dxf>
      <font>
        <color rgb="FFFF0000"/>
      </font>
    </dxf>
    <dxf>
      <font>
        <color rgb="FFFF0000"/>
      </font>
    </dxf>
    <dxf>
      <font>
        <color rgb="FFFF0000"/>
      </font>
    </dxf>
    <dxf>
      <fill>
        <patternFill>
          <fgColor auto="1"/>
          <bgColor rgb="FFF2A4A4"/>
        </patternFill>
      </fill>
    </dxf>
    <dxf>
      <font>
        <color rgb="FFFF0000"/>
      </font>
    </dxf>
    <dxf>
      <font>
        <color rgb="FFFF0000"/>
      </font>
    </dxf>
    <dxf>
      <fill>
        <patternFill>
          <fgColor auto="1"/>
          <bgColor rgb="FFF2A4A4"/>
        </patternFill>
      </fill>
    </dxf>
    <dxf>
      <font>
        <color rgb="FFFF0000"/>
      </font>
    </dxf>
    <dxf>
      <font>
        <color rgb="FFFF0000"/>
      </font>
    </dxf>
    <dxf>
      <fill>
        <patternFill>
          <fgColor auto="1"/>
          <bgColor rgb="FFF2A4A4"/>
        </patternFill>
      </fill>
    </dxf>
    <dxf>
      <font>
        <color rgb="FFFF0000"/>
      </font>
    </dxf>
    <dxf>
      <font>
        <color rgb="FFFF0000"/>
      </font>
    </dxf>
    <dxf>
      <fill>
        <patternFill>
          <bgColor rgb="FFEB6E6B"/>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EB6E6B"/>
        </patternFill>
      </fill>
    </dxf>
    <dxf>
      <fill>
        <patternFill>
          <fgColor auto="1"/>
          <bgColor rgb="FFF2A4A4"/>
        </patternFill>
      </fill>
    </dxf>
    <dxf>
      <font>
        <color rgb="FFFF0000"/>
      </font>
    </dxf>
    <dxf>
      <font>
        <color rgb="FFFF0000"/>
      </font>
    </dxf>
    <dxf>
      <font>
        <color theme="9" tint="0.79998168889431442"/>
      </font>
      <fill>
        <patternFill>
          <bgColor theme="9" tint="0.79998168889431442"/>
        </patternFill>
      </fill>
      <border>
        <left/>
        <top/>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9" tint="0.59996337778862885"/>
        </patternFill>
      </fill>
    </dxf>
    <dxf>
      <font>
        <b/>
        <i val="0"/>
      </font>
      <border>
        <left style="thin">
          <color rgb="FFFF0000"/>
        </left>
        <right style="thin">
          <color rgb="FFFF0000"/>
        </right>
        <top style="thin">
          <color rgb="FFFF0000"/>
        </top>
        <bottom style="thin">
          <color rgb="FFFF0000"/>
        </bottom>
        <vertical/>
        <horizontal/>
      </border>
    </dxf>
    <dxf>
      <font>
        <b/>
        <i val="0"/>
        <color theme="1"/>
      </font>
      <fill>
        <patternFill>
          <bgColor rgb="FFFF0000"/>
        </patternFill>
      </fill>
    </dxf>
    <dxf>
      <font>
        <b/>
        <i val="0"/>
        <color theme="1"/>
      </font>
      <fill>
        <patternFill>
          <bgColor rgb="FFFF0000"/>
        </patternFill>
      </fill>
      <border>
        <left/>
        <right/>
        <top/>
        <bottom/>
        <vertical/>
        <horizontal/>
      </border>
    </dxf>
    <dxf>
      <font>
        <b/>
        <i val="0"/>
        <color theme="1"/>
      </font>
      <fill>
        <patternFill>
          <bgColor rgb="FFFF0000"/>
        </patternFill>
      </fill>
    </dxf>
    <dxf>
      <font>
        <b/>
        <i val="0"/>
        <color theme="1"/>
      </font>
      <fill>
        <patternFill>
          <bgColor rgb="FFFF0000"/>
        </patternFill>
      </fill>
    </dxf>
    <dxf>
      <font>
        <b/>
        <i val="0"/>
      </font>
      <border>
        <left style="thin">
          <color rgb="FFFF0000"/>
        </left>
        <right style="thin">
          <color rgb="FFFF0000"/>
        </right>
        <top style="thin">
          <color rgb="FFFF0000"/>
        </top>
        <bottom style="thin">
          <color rgb="FFFF0000"/>
        </bottom>
        <vertical/>
        <horizontal/>
      </border>
    </dxf>
    <dxf>
      <font>
        <b/>
        <i val="0"/>
      </font>
      <border>
        <left style="thin">
          <color rgb="FFFF0000"/>
        </left>
        <right style="thin">
          <color rgb="FFFF0000"/>
        </right>
        <top style="thin">
          <color rgb="FFFF0000"/>
        </top>
        <bottom style="thin">
          <color rgb="FFFF0000"/>
        </bottom>
        <vertical/>
        <horizontal/>
      </border>
    </dxf>
    <dxf>
      <font>
        <b/>
        <i val="0"/>
        <color theme="0"/>
      </font>
      <fill>
        <patternFill>
          <bgColor theme="1"/>
        </patternFill>
      </fill>
    </dxf>
    <dxf>
      <font>
        <b/>
        <i val="0"/>
        <color theme="0"/>
      </font>
      <fill>
        <patternFill>
          <bgColor theme="1"/>
        </patternFill>
      </fill>
      <border>
        <left/>
        <right/>
        <top/>
        <bottom/>
        <vertical/>
        <horizontal/>
      </border>
    </dxf>
    <dxf>
      <font>
        <b/>
        <i val="0"/>
        <color theme="0"/>
      </font>
      <fill>
        <patternFill>
          <bgColor theme="1"/>
        </patternFill>
      </fill>
      <border>
        <left/>
        <right/>
        <top/>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4" tint="0.79998168889431442"/>
        </patternFill>
      </fill>
    </dxf>
    <dxf>
      <font>
        <b/>
        <i val="0"/>
        <color rgb="FFFF0000"/>
      </font>
    </dxf>
    <dxf>
      <font>
        <b/>
        <i val="0"/>
        <color rgb="FFFF0000"/>
      </font>
    </dxf>
    <dxf>
      <font>
        <b/>
        <i val="0"/>
        <color rgb="FFFF0000"/>
      </font>
    </dxf>
    <dxf>
      <font>
        <b/>
        <i val="0"/>
        <color rgb="FFFF0000"/>
      </font>
    </dxf>
    <dxf>
      <fill>
        <patternFill>
          <fgColor auto="1"/>
          <bgColor rgb="FFF2A4A4"/>
        </patternFill>
      </fill>
    </dxf>
    <dxf>
      <font>
        <color rgb="FFFF0000"/>
      </font>
    </dxf>
    <dxf>
      <font>
        <color rgb="FFFF0000"/>
      </font>
    </dxf>
    <dxf>
      <font>
        <color rgb="FFFF0000"/>
      </font>
    </dxf>
    <dxf>
      <font>
        <color rgb="FFFF0000"/>
      </font>
    </dxf>
    <dxf>
      <fill>
        <patternFill>
          <fgColor auto="1"/>
          <bgColor rgb="FFF2A4A4"/>
        </patternFill>
      </fill>
    </dxf>
    <dxf>
      <font>
        <color rgb="FFFF0000"/>
      </font>
    </dxf>
    <dxf>
      <font>
        <color rgb="FFFF0000"/>
      </font>
    </dxf>
    <dxf>
      <fill>
        <patternFill>
          <fgColor auto="1"/>
          <bgColor rgb="FFF2A4A4"/>
        </patternFill>
      </fill>
    </dxf>
    <dxf>
      <fill>
        <patternFill>
          <fgColor auto="1"/>
          <bgColor rgb="FFF2A4A4"/>
        </patternFill>
      </fill>
    </dxf>
    <dxf>
      <fill>
        <patternFill>
          <fgColor auto="1"/>
          <bgColor rgb="FFF2A4A4"/>
        </patternFill>
      </fill>
    </dxf>
    <dxf>
      <font>
        <color rgb="FFFF0000"/>
      </font>
    </dxf>
    <dxf>
      <font>
        <color rgb="FFFF0000"/>
      </font>
    </dxf>
    <dxf>
      <fill>
        <patternFill>
          <bgColor rgb="FFEB6E6B"/>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fgColor auto="1"/>
          <bgColor rgb="FFF2A4A4"/>
        </patternFill>
      </fill>
    </dxf>
    <dxf>
      <fill>
        <patternFill>
          <bgColor rgb="FFEB6E6B"/>
        </patternFill>
      </fill>
    </dxf>
    <dxf>
      <fill>
        <patternFill>
          <fgColor auto="1"/>
          <bgColor rgb="FFF2A4A4"/>
        </patternFill>
      </fill>
    </dxf>
    <dxf>
      <font>
        <color rgb="FFFF0000"/>
      </font>
    </dxf>
    <dxf>
      <font>
        <color rgb="FFFF0000"/>
      </font>
    </dxf>
    <dxf>
      <font>
        <color rgb="FFFF0000"/>
      </font>
    </dxf>
    <dxf>
      <font>
        <color rgb="FFFF0000"/>
      </font>
    </dxf>
    <dxf>
      <font>
        <color theme="9" tint="0.79998168889431442"/>
      </font>
      <fill>
        <patternFill>
          <bgColor theme="9" tint="0.79998168889431442"/>
        </patternFill>
      </fill>
      <border>
        <left/>
        <vertical/>
        <horizontal/>
      </border>
    </dxf>
    <dxf>
      <font>
        <color theme="9" tint="0.79998168889431442"/>
      </font>
      <fill>
        <patternFill>
          <bgColor theme="9" tint="0.79998168889431442"/>
        </patternFill>
      </fill>
      <border>
        <left/>
        <top/>
      </border>
    </dxf>
    <dxf>
      <font>
        <color theme="9" tint="0.79998168889431442"/>
      </font>
      <fill>
        <patternFill>
          <bgColor theme="9" tint="0.79998168889431442"/>
        </patternFill>
      </fill>
      <border>
        <left/>
        <top/>
      </border>
    </dxf>
    <dxf>
      <font>
        <b/>
        <i val="0"/>
        <color theme="1"/>
      </font>
      <fill>
        <patternFill>
          <bgColor rgb="FFFF0000"/>
        </patternFill>
      </fill>
    </dxf>
    <dxf>
      <font>
        <b/>
        <i val="0"/>
        <color theme="1"/>
      </font>
      <fill>
        <patternFill>
          <bgColor rgb="FFFF0000"/>
        </patternFill>
      </fill>
    </dxf>
    <dxf>
      <font>
        <b/>
        <i val="0"/>
      </font>
      <border>
        <left style="thin">
          <color rgb="FFFF0000"/>
        </left>
        <right style="thin">
          <color rgb="FFFF0000"/>
        </right>
        <top style="thin">
          <color rgb="FFFF0000"/>
        </top>
        <bottom style="thin">
          <color rgb="FFFF0000"/>
        </bottom>
        <vertical/>
        <horizontal/>
      </border>
    </dxf>
    <dxf>
      <font>
        <b/>
        <i val="0"/>
      </font>
      <border>
        <left style="thin">
          <color rgb="FFFF0000"/>
        </left>
        <right style="thin">
          <color rgb="FFFF0000"/>
        </right>
        <top style="thin">
          <color rgb="FFFF0000"/>
        </top>
        <bottom style="thin">
          <color rgb="FFFF0000"/>
        </bottom>
        <vertical/>
        <horizontal/>
      </border>
    </dxf>
    <dxf>
      <font>
        <b/>
        <i val="0"/>
      </font>
      <border>
        <left style="thin">
          <color rgb="FFFF0000"/>
        </left>
        <right style="thin">
          <color rgb="FFFF0000"/>
        </right>
        <top style="thin">
          <color rgb="FFFF0000"/>
        </top>
        <bottom style="thin">
          <color rgb="FFFF0000"/>
        </bottom>
        <vertical/>
        <horizontal/>
      </border>
    </dxf>
    <dxf>
      <font>
        <b/>
        <i val="0"/>
        <color theme="1"/>
      </font>
      <fill>
        <patternFill>
          <bgColor rgb="FFFF0000"/>
        </patternFill>
      </fill>
    </dxf>
    <dxf>
      <font>
        <b/>
        <i val="0"/>
      </font>
      <border>
        <left style="thin">
          <color rgb="FFFF0000"/>
        </left>
        <right style="thin">
          <color rgb="FFFF0000"/>
        </right>
        <top style="thin">
          <color rgb="FFFF0000"/>
        </top>
        <bottom style="thin">
          <color rgb="FFFF0000"/>
        </bottom>
        <vertical/>
        <horizontal/>
      </border>
    </dxf>
    <dxf>
      <font>
        <b/>
        <i val="0"/>
        <color theme="1"/>
      </font>
      <fill>
        <patternFill>
          <bgColor rgb="FFFF0000"/>
        </patternFill>
      </fill>
    </dxf>
    <dxf>
      <font>
        <b/>
        <i val="0"/>
      </font>
      <border>
        <left style="thin">
          <color rgb="FFFF0000"/>
        </left>
        <right style="thin">
          <color rgb="FFFF0000"/>
        </right>
        <top style="thin">
          <color rgb="FFFF0000"/>
        </top>
        <bottom style="thin">
          <color rgb="FFFF0000"/>
        </bottom>
        <vertical/>
        <horizontal/>
      </border>
    </dxf>
    <dxf>
      <font>
        <b/>
        <i val="0"/>
      </font>
      <border>
        <left style="thin">
          <color rgb="FFFF0000"/>
        </left>
        <right style="thin">
          <color rgb="FFFF0000"/>
        </right>
        <top style="thin">
          <color rgb="FFFF0000"/>
        </top>
        <bottom style="thin">
          <color rgb="FFFF0000"/>
        </bottom>
        <vertical/>
        <horizontal/>
      </border>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1"/>
        </patternFill>
      </fill>
    </dxf>
    <dxf>
      <font>
        <b/>
        <i val="0"/>
      </font>
      <border>
        <left style="thin">
          <color auto="1"/>
        </left>
        <right style="thin">
          <color auto="1"/>
        </right>
        <top style="thin">
          <color auto="1"/>
        </top>
        <bottom style="thin">
          <color auto="1"/>
        </bottom>
        <vertical/>
        <horizontal/>
      </border>
    </dxf>
    <dxf>
      <font>
        <b/>
        <i val="0"/>
        <color theme="0"/>
      </font>
      <fill>
        <patternFill>
          <bgColor theme="1"/>
        </patternFill>
      </fill>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1"/>
        </patternFill>
      </fill>
    </dxf>
    <dxf>
      <fill>
        <patternFill>
          <fgColor auto="1"/>
          <bgColor rgb="FFF2A4A4"/>
        </patternFill>
      </fill>
    </dxf>
    <dxf>
      <fill>
        <patternFill>
          <fgColor auto="1"/>
          <bgColor rgb="FFF2A4A4"/>
        </patternFill>
      </fill>
    </dxf>
    <dxf>
      <font>
        <color rgb="FFFF0000"/>
      </font>
    </dxf>
    <dxf>
      <font>
        <color rgb="FFFF0000"/>
      </font>
    </dxf>
    <dxf>
      <fill>
        <patternFill>
          <fgColor auto="1"/>
          <bgColor rgb="FFF2A4A4"/>
        </patternFill>
      </fill>
    </dxf>
    <dxf>
      <font>
        <color rgb="FFFF0000"/>
      </font>
    </dxf>
    <dxf>
      <font>
        <color rgb="FFFF0000"/>
      </font>
    </dxf>
    <dxf>
      <font>
        <b/>
        <i val="0"/>
        <color theme="1"/>
      </font>
      <fill>
        <patternFill>
          <bgColor rgb="FFFF0000"/>
        </patternFill>
      </fill>
    </dxf>
    <dxf>
      <font>
        <b/>
        <i val="0"/>
        <color theme="1"/>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8" tint="0.79998168889431442"/>
        </patternFill>
      </fill>
    </dxf>
    <dxf>
      <fill>
        <patternFill>
          <bgColor theme="8" tint="0.79998168889431442"/>
        </patternFill>
      </fill>
    </dxf>
    <dxf>
      <fill>
        <patternFill>
          <bgColor theme="9" tint="0.59996337778862885"/>
        </patternFill>
      </fill>
    </dxf>
    <dxf>
      <fill>
        <patternFill>
          <bgColor theme="9" tint="0.59996337778862885"/>
        </patternFill>
      </fill>
      <border>
        <bottom/>
        <vertical/>
        <horizontal/>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fgColor auto="1"/>
          <bgColor rgb="FFF2A4A4"/>
        </patternFill>
      </fill>
    </dxf>
    <dxf>
      <fill>
        <patternFill>
          <bgColor rgb="FFEB6E6B"/>
        </patternFill>
      </fill>
    </dxf>
    <dxf>
      <fill>
        <patternFill>
          <fgColor auto="1"/>
          <bgColor rgb="FFF2A4A4"/>
        </patternFill>
      </fill>
    </dxf>
    <dxf>
      <font>
        <color rgb="FFFF0000"/>
      </font>
    </dxf>
    <dxf>
      <font>
        <color rgb="FFFF0000"/>
      </font>
    </dxf>
    <dxf>
      <font>
        <color rgb="FFFF0000"/>
      </font>
    </dxf>
    <dxf>
      <font>
        <color rgb="FFFF0000"/>
      </font>
    </dxf>
    <dxf>
      <font>
        <color theme="9" tint="0.79998168889431442"/>
      </font>
      <fill>
        <patternFill>
          <bgColor theme="9" tint="0.79998168889431442"/>
        </patternFill>
      </fill>
      <border>
        <left/>
        <top/>
      </border>
    </dxf>
    <dxf>
      <font>
        <color theme="9" tint="0.79998168889431442"/>
      </font>
      <fill>
        <patternFill>
          <bgColor theme="9" tint="0.79998168889431442"/>
        </patternFill>
      </fill>
      <border>
        <left/>
        <top/>
      </border>
    </dxf>
    <dxf>
      <font>
        <color rgb="FFFF0000"/>
      </font>
    </dxf>
    <dxf>
      <font>
        <color rgb="FFFF0000"/>
      </font>
    </dxf>
    <dxf>
      <font>
        <color theme="9" tint="0.79998168889431442"/>
      </font>
      <fill>
        <patternFill>
          <bgColor theme="9" tint="0.79998168889431442"/>
        </patternFill>
      </fill>
      <border>
        <left/>
        <vertical/>
        <horizontal/>
      </border>
    </dxf>
    <dxf>
      <font>
        <color theme="9" tint="0.79998168889431442"/>
      </font>
      <fill>
        <patternFill>
          <bgColor theme="9" tint="0.79998168889431442"/>
        </patternFill>
      </fill>
      <border>
        <left/>
        <top/>
      </border>
    </dxf>
    <dxf>
      <font>
        <color theme="9" tint="0.79998168889431442"/>
      </font>
      <fill>
        <patternFill>
          <bgColor theme="9" tint="0.79998168889431442"/>
        </patternFill>
      </fill>
      <border>
        <left/>
        <top/>
      </border>
    </dxf>
  </dxfs>
  <tableStyles count="0" defaultTableStyle="TableStyleMedium2" defaultPivotStyle="PivotStyleLight16"/>
  <colors>
    <mruColors>
      <color rgb="FFEE8282"/>
      <color rgb="FFF27272"/>
      <color rgb="FFF59595"/>
      <color rgb="FFF07070"/>
      <color rgb="FFEB6E6B"/>
      <color rgb="FFF2A4A4"/>
      <color rgb="FFF27E7E"/>
      <color rgb="FFDC6666"/>
      <color rgb="FFC98179"/>
      <color rgb="FFDAC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4260"/>
  <ax:ocxPr ax:name="_ExtentY" ax:value="529"/>
  <ax:ocxPr ax:name="_Version" ax:value="393216"/>
  <ax:ocxPr ax:name="Font">
    <ax:font ax:persistence="persistPropertyBag">
      <ax:ocxPr ax:name="Name" ax:value="Times New Roman"/>
      <ax:ocxPr ax:name="Size" ax:value="9,75"/>
      <ax:ocxPr ax:name="Charset" ax:value="0"/>
      <ax:ocxPr ax:name="Weight" ax:value="400"/>
      <ax:ocxPr ax:name="Underline" ax:value="0"/>
      <ax:ocxPr ax:name="Italic" ax:value="0"/>
      <ax:ocxPr ax:name="Strikethrough" ax:value="0"/>
    </ax:font>
  </ax:ocxPr>
  <ax:ocxPr ax:name="Format" ax:value="641400832"/>
  <ax:ocxPr ax:name="CurrentDate" ax:value="42828"/>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4445"/>
  <ax:ocxPr ax:name="_ExtentY" ax:value="529"/>
  <ax:ocxPr ax:name="_Version" ax:value="393216"/>
  <ax:ocxPr ax:name="Font">
    <ax:font ax:persistence="persistPropertyBag">
      <ax:ocxPr ax:name="Name" ax:value="Times New Roman"/>
      <ax:ocxPr ax:name="Size" ax:value="9,75"/>
      <ax:ocxPr ax:name="Charset" ax:value="0"/>
      <ax:ocxPr ax:name="Weight" ax:value="400"/>
      <ax:ocxPr ax:name="Underline" ax:value="0"/>
      <ax:ocxPr ax:name="Italic" ax:value="0"/>
      <ax:ocxPr ax:name="Strikethrough" ax:value="0"/>
    </ax:font>
  </ax:ocxPr>
  <ax:ocxPr ax:name="Format" ax:value="641400832"/>
  <ax:ocxPr ax:name="CurrentDate" ax:value="42828"/>
</ax:ocx>
</file>

<file path=xl/activeX/activeX3.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4445"/>
  <ax:ocxPr ax:name="_ExtentY" ax:value="529"/>
  <ax:ocxPr ax:name="_Version" ax:value="393216"/>
  <ax:ocxPr ax:name="Font">
    <ax:font ax:persistence="persistPropertyBag">
      <ax:ocxPr ax:name="Name" ax:value="Times New Roman"/>
      <ax:ocxPr ax:name="Size" ax:value="9,75"/>
      <ax:ocxPr ax:name="Charset" ax:value="0"/>
      <ax:ocxPr ax:name="Weight" ax:value="400"/>
      <ax:ocxPr ax:name="Underline" ax:value="0"/>
      <ax:ocxPr ax:name="Italic" ax:value="0"/>
      <ax:ocxPr ax:name="Strikethrough" ax:value="0"/>
    </ax:font>
  </ax:ocxPr>
  <ax:ocxPr ax:name="Format" ax:value="641400832"/>
  <ax:ocxPr ax:name="CurrentDate" ax:value="42828"/>
</ax:ocx>
</file>

<file path=xl/ctrlProps/ctrlProp1.xml><?xml version="1.0" encoding="utf-8"?>
<formControlPr xmlns="http://schemas.microsoft.com/office/spreadsheetml/2009/9/main" objectType="Drop" dropStyle="combo" dx="16" fmlaLink="$B$13" fmlaRange="$A$11:$A$12" val="0"/>
</file>

<file path=xl/ctrlProps/ctrlProp10.xml><?xml version="1.0" encoding="utf-8"?>
<formControlPr xmlns="http://schemas.microsoft.com/office/spreadsheetml/2009/9/main" objectType="Spin" dx="22" fmlaLink="$W$28" max="13" min="1" noThreeD="1" page="10" val="7"/>
</file>

<file path=xl/ctrlProps/ctrlProp11.xml><?xml version="1.0" encoding="utf-8"?>
<formControlPr xmlns="http://schemas.microsoft.com/office/spreadsheetml/2009/9/main" objectType="Spin" dx="22" fmlaLink="$W$33" max="21" noThreeD="1" page="10" val="3"/>
</file>

<file path=xl/ctrlProps/ctrlProp12.xml><?xml version="1.0" encoding="utf-8"?>
<formControlPr xmlns="http://schemas.microsoft.com/office/spreadsheetml/2009/9/main" objectType="Spin" dx="22" fmlaLink="$W$34" max="21" noThreeD="1" page="10" val="7"/>
</file>

<file path=xl/ctrlProps/ctrlProp13.xml><?xml version="1.0" encoding="utf-8"?>
<formControlPr xmlns="http://schemas.microsoft.com/office/spreadsheetml/2009/9/main" objectType="Spin" dx="22" fmlaLink="$W$35" max="31" noThreeD="1" page="10" val="2"/>
</file>

<file path=xl/ctrlProps/ctrlProp14.xml><?xml version="1.0" encoding="utf-8"?>
<formControlPr xmlns="http://schemas.microsoft.com/office/spreadsheetml/2009/9/main" objectType="Spin" dx="22" fmlaLink="$W$38" max="14" noThreeD="1" page="10" val="0"/>
</file>

<file path=xl/ctrlProps/ctrlProp15.xml><?xml version="1.0" encoding="utf-8"?>
<formControlPr xmlns="http://schemas.microsoft.com/office/spreadsheetml/2009/9/main" objectType="Spin" dx="22" fmlaLink="$W$43" max="8" noThreeD="1" page="10" val="0"/>
</file>

<file path=xl/ctrlProps/ctrlProp16.xml><?xml version="1.0" encoding="utf-8"?>
<formControlPr xmlns="http://schemas.microsoft.com/office/spreadsheetml/2009/9/main" objectType="Spin" dx="22" fmlaLink="$W$42" max="12" noThreeD="1" page="10" val="7"/>
</file>

<file path=xl/ctrlProps/ctrlProp17.xml><?xml version="1.0" encoding="utf-8"?>
<formControlPr xmlns="http://schemas.microsoft.com/office/spreadsheetml/2009/9/main" objectType="Spin" dx="22" fmlaLink="$W$44" max="35" noThreeD="1" page="10" val="0"/>
</file>

<file path=xl/ctrlProps/ctrlProp18.xml><?xml version="1.0" encoding="utf-8"?>
<formControlPr xmlns="http://schemas.microsoft.com/office/spreadsheetml/2009/9/main" objectType="Spin" dx="22" fmlaLink="$W$47" max="17" noThreeD="1" page="10"/>
</file>

<file path=xl/ctrlProps/ctrlProp19.xml><?xml version="1.0" encoding="utf-8"?>
<formControlPr xmlns="http://schemas.microsoft.com/office/spreadsheetml/2009/9/main" objectType="Spin" dx="22" fmlaLink="$W$48" max="21" noThreeD="1" page="10" val="7"/>
</file>

<file path=xl/ctrlProps/ctrlProp2.xml><?xml version="1.0" encoding="utf-8"?>
<formControlPr xmlns="http://schemas.microsoft.com/office/spreadsheetml/2009/9/main" objectType="CheckBox" fmlaLink="$B$16" lockText="1" noThreeD="1"/>
</file>

<file path=xl/ctrlProps/ctrlProp20.xml><?xml version="1.0" encoding="utf-8"?>
<formControlPr xmlns="http://schemas.microsoft.com/office/spreadsheetml/2009/9/main" objectType="Spin" dx="22" fmlaLink="$W$49" max="31" noThreeD="1" page="10"/>
</file>

<file path=xl/ctrlProps/ctrlProp21.xml><?xml version="1.0" encoding="utf-8"?>
<formControlPr xmlns="http://schemas.microsoft.com/office/spreadsheetml/2009/9/main" objectType="Spin" dx="22" fmlaLink="$W$50" max="14" noThreeD="1" page="10"/>
</file>

<file path=xl/ctrlProps/ctrlProp22.xml><?xml version="1.0" encoding="utf-8"?>
<formControlPr xmlns="http://schemas.microsoft.com/office/spreadsheetml/2009/9/main" objectType="Spin" dx="22" fmlaLink="$W$51" max="14" noThreeD="1" page="10" val="0"/>
</file>

<file path=xl/ctrlProps/ctrlProp23.xml><?xml version="1.0" encoding="utf-8"?>
<formControlPr xmlns="http://schemas.microsoft.com/office/spreadsheetml/2009/9/main" objectType="CheckBox" fmlaLink="$C$21" lockText="1" noThreeD="1"/>
</file>

<file path=xl/ctrlProps/ctrlProp24.xml><?xml version="1.0" encoding="utf-8"?>
<formControlPr xmlns="http://schemas.microsoft.com/office/spreadsheetml/2009/9/main" objectType="Spin" dx="22" fmlaLink="$W$53" max="42" noThreeD="1" page="10" val="0"/>
</file>

<file path=xl/ctrlProps/ctrlProp25.xml><?xml version="1.0" encoding="utf-8"?>
<formControlPr xmlns="http://schemas.microsoft.com/office/spreadsheetml/2009/9/main" objectType="Spin" dx="22" fmlaLink="$W$54" max="14" noThreeD="1" page="10" val="0"/>
</file>

<file path=xl/ctrlProps/ctrlProp26.xml><?xml version="1.0" encoding="utf-8"?>
<formControlPr xmlns="http://schemas.microsoft.com/office/spreadsheetml/2009/9/main" objectType="Spin" dx="22" fmlaLink="$W$57" max="70" noThreeD="1" page="10" val="0"/>
</file>

<file path=xl/ctrlProps/ctrlProp27.xml><?xml version="1.0" encoding="utf-8"?>
<formControlPr xmlns="http://schemas.microsoft.com/office/spreadsheetml/2009/9/main" objectType="Spin" dx="22" fmlaLink="$W$41" max="14" noThreeD="1" page="10" val="0"/>
</file>

<file path=xl/ctrlProps/ctrlProp28.xml><?xml version="1.0" encoding="utf-8"?>
<formControlPr xmlns="http://schemas.microsoft.com/office/spreadsheetml/2009/9/main" objectType="CheckBox" fmlaLink="$B$15" noThreeD="1"/>
</file>

<file path=xl/ctrlProps/ctrlProp29.xml><?xml version="1.0" encoding="utf-8"?>
<formControlPr xmlns="http://schemas.microsoft.com/office/spreadsheetml/2009/9/main" objectType="CheckBox" checked="Checked" fmlaLink="$B$19" lockText="1" noThreeD="1"/>
</file>

<file path=xl/ctrlProps/ctrlProp3.xml><?xml version="1.0" encoding="utf-8"?>
<formControlPr xmlns="http://schemas.microsoft.com/office/spreadsheetml/2009/9/main" objectType="CheckBox" checked="Checked" fmlaLink="$B$18" lockText="1" noThreeD="1"/>
</file>

<file path=xl/ctrlProps/ctrlProp30.xml><?xml version="1.0" encoding="utf-8"?>
<formControlPr xmlns="http://schemas.microsoft.com/office/spreadsheetml/2009/9/main" objectType="Spin" dx="22" fmlaLink="$W$37" max="21" noThreeD="1" page="10" val="0"/>
</file>

<file path=xl/ctrlProps/ctrlProp31.xml><?xml version="1.0" encoding="utf-8"?>
<formControlPr xmlns="http://schemas.microsoft.com/office/spreadsheetml/2009/9/main" objectType="Spin" dx="22" fmlaLink="$W$36" max="21" noThreeD="1" page="10" val="2"/>
</file>

<file path=xl/ctrlProps/ctrlProp32.xml><?xml version="1.0" encoding="utf-8"?>
<formControlPr xmlns="http://schemas.microsoft.com/office/spreadsheetml/2009/9/main" objectType="Drop" dropStyle="combo" dx="16" fmlaLink="$B$13" fmlaRange="$A$11:$A$12" val="0"/>
</file>

<file path=xl/ctrlProps/ctrlProp33.xml><?xml version="1.0" encoding="utf-8"?>
<formControlPr xmlns="http://schemas.microsoft.com/office/spreadsheetml/2009/9/main" objectType="CheckBox" fmlaLink="$B$16" lockText="1" noThreeD="1"/>
</file>

<file path=xl/ctrlProps/ctrlProp34.xml><?xml version="1.0" encoding="utf-8"?>
<formControlPr xmlns="http://schemas.microsoft.com/office/spreadsheetml/2009/9/main" objectType="CheckBox" checked="Checked" fmlaLink="$B$18" lockText="1" noThreeD="1"/>
</file>

<file path=xl/ctrlProps/ctrlProp35.xml><?xml version="1.0" encoding="utf-8"?>
<formControlPr xmlns="http://schemas.microsoft.com/office/spreadsheetml/2009/9/main" objectType="CheckBox" fmlaLink="$C$19" lockText="1" noThreeD="1"/>
</file>

<file path=xl/ctrlProps/ctrlProp36.xml><?xml version="1.0" encoding="utf-8"?>
<formControlPr xmlns="http://schemas.microsoft.com/office/spreadsheetml/2009/9/main" objectType="Drop" dropStyle="combo" dx="16" fmlaLink="$B$9" fmlaRange="$A$7:$A$8" val="0"/>
</file>

<file path=xl/ctrlProps/ctrlProp37.xml><?xml version="1.0" encoding="utf-8"?>
<formControlPr xmlns="http://schemas.microsoft.com/office/spreadsheetml/2009/9/main" objectType="CheckBox" checked="Checked" fmlaLink="$B$17" lockText="1" noThreeD="1"/>
</file>

<file path=xl/ctrlProps/ctrlProp38.xml><?xml version="1.0" encoding="utf-8"?>
<formControlPr xmlns="http://schemas.microsoft.com/office/spreadsheetml/2009/9/main" objectType="Spin" dx="22" fmlaLink="$W$33" max="14" noThreeD="1" page="10"/>
</file>

<file path=xl/ctrlProps/ctrlProp39.xml><?xml version="1.0" encoding="utf-8"?>
<formControlPr xmlns="http://schemas.microsoft.com/office/spreadsheetml/2009/9/main" objectType="Spin" dx="22" fmlaLink="$W$34" max="21" noThreeD="1" page="10" val="3"/>
</file>

<file path=xl/ctrlProps/ctrlProp4.xml><?xml version="1.0" encoding="utf-8"?>
<formControlPr xmlns="http://schemas.microsoft.com/office/spreadsheetml/2009/9/main" objectType="CheckBox" fmlaLink="$C$20" lockText="1" noThreeD="1"/>
</file>

<file path=xl/ctrlProps/ctrlProp40.xml><?xml version="1.0" encoding="utf-8"?>
<formControlPr xmlns="http://schemas.microsoft.com/office/spreadsheetml/2009/9/main" objectType="Spin" dx="22" fmlaLink="$W$29" max="8" noThreeD="1" page="10" val="0"/>
</file>

<file path=xl/ctrlProps/ctrlProp41.xml><?xml version="1.0" encoding="utf-8"?>
<formControlPr xmlns="http://schemas.microsoft.com/office/spreadsheetml/2009/9/main" objectType="Spin" dx="22" fmlaLink="$W$28" max="12" noThreeD="1" page="10" val="7"/>
</file>

<file path=xl/ctrlProps/ctrlProp42.xml><?xml version="1.0" encoding="utf-8"?>
<formControlPr xmlns="http://schemas.microsoft.com/office/spreadsheetml/2009/9/main" objectType="Spin" dx="22" fmlaLink="$W$30" max="35" noThreeD="1" page="10" val="0"/>
</file>

<file path=xl/ctrlProps/ctrlProp43.xml><?xml version="1.0" encoding="utf-8"?>
<formControlPr xmlns="http://schemas.microsoft.com/office/spreadsheetml/2009/9/main" objectType="Spin" dx="22" fmlaLink="$W$35" max="17" noThreeD="1" page="10"/>
</file>

<file path=xl/ctrlProps/ctrlProp44.xml><?xml version="1.0" encoding="utf-8"?>
<formControlPr xmlns="http://schemas.microsoft.com/office/spreadsheetml/2009/9/main" objectType="Spin" dx="22" fmlaLink="$W$36" max="21" noThreeD="1" page="10" val="7"/>
</file>

<file path=xl/ctrlProps/ctrlProp45.xml><?xml version="1.0" encoding="utf-8"?>
<formControlPr xmlns="http://schemas.microsoft.com/office/spreadsheetml/2009/9/main" objectType="Spin" dx="22" fmlaLink="$W$37" max="31" noThreeD="1" page="10"/>
</file>

<file path=xl/ctrlProps/ctrlProp46.xml><?xml version="1.0" encoding="utf-8"?>
<formControlPr xmlns="http://schemas.microsoft.com/office/spreadsheetml/2009/9/main" objectType="Spin" dx="22" fmlaLink="$W$38" max="14" noThreeD="1" page="10"/>
</file>

<file path=xl/ctrlProps/ctrlProp47.xml><?xml version="1.0" encoding="utf-8"?>
<formControlPr xmlns="http://schemas.microsoft.com/office/spreadsheetml/2009/9/main" objectType="Spin" dx="22" fmlaLink="$W$39" max="14" noThreeD="1" page="10" val="0"/>
</file>

<file path=xl/ctrlProps/ctrlProp48.xml><?xml version="1.0" encoding="utf-8"?>
<formControlPr xmlns="http://schemas.microsoft.com/office/spreadsheetml/2009/9/main" objectType="CheckBox" fmlaLink="$C$20" lockText="1" noThreeD="1"/>
</file>

<file path=xl/ctrlProps/ctrlProp49.xml><?xml version="1.0" encoding="utf-8"?>
<formControlPr xmlns="http://schemas.microsoft.com/office/spreadsheetml/2009/9/main" objectType="Spin" dx="22" fmlaLink="$W$41" max="42" noThreeD="1" page="10" val="0"/>
</file>

<file path=xl/ctrlProps/ctrlProp5.xml><?xml version="1.0" encoding="utf-8"?>
<formControlPr xmlns="http://schemas.microsoft.com/office/spreadsheetml/2009/9/main" objectType="Drop" dropStyle="combo" dx="16" fmlaLink="$B$9" fmlaRange="$A$7:$A$8" val="0"/>
</file>

<file path=xl/ctrlProps/ctrlProp50.xml><?xml version="1.0" encoding="utf-8"?>
<formControlPr xmlns="http://schemas.microsoft.com/office/spreadsheetml/2009/9/main" objectType="Spin" dx="22" fmlaLink="$W$42" max="14" noThreeD="1" page="10" val="0"/>
</file>

<file path=xl/ctrlProps/ctrlProp51.xml><?xml version="1.0" encoding="utf-8"?>
<formControlPr xmlns="http://schemas.microsoft.com/office/spreadsheetml/2009/9/main" objectType="Spin" dx="22" fmlaLink="$W$45" max="70" noThreeD="1" page="10" val="0"/>
</file>

<file path=xl/ctrlProps/ctrlProp52.xml><?xml version="1.0" encoding="utf-8"?>
<formControlPr xmlns="http://schemas.microsoft.com/office/spreadsheetml/2009/9/main" objectType="Spin" dx="22" fmlaLink="$W$27" max="14" noThreeD="1" page="10" val="0"/>
</file>

<file path=xl/ctrlProps/ctrlProp53.xml><?xml version="1.0" encoding="utf-8"?>
<formControlPr xmlns="http://schemas.microsoft.com/office/spreadsheetml/2009/9/main" objectType="CheckBox" fmlaLink="$B$15" noThreeD="1"/>
</file>

<file path=xl/ctrlProps/ctrlProp54.xml><?xml version="1.0" encoding="utf-8"?>
<formControlPr xmlns="http://schemas.microsoft.com/office/spreadsheetml/2009/9/main" objectType="Drop" dropStyle="combo" dx="16" fmlaLink="$B$13" fmlaRange="$A$11:$A$12" val="0"/>
</file>

<file path=xl/ctrlProps/ctrlProp55.xml><?xml version="1.0" encoding="utf-8"?>
<formControlPr xmlns="http://schemas.microsoft.com/office/spreadsheetml/2009/9/main" objectType="CheckBox" fmlaLink="$B$18" lockText="1" noThreeD="1"/>
</file>

<file path=xl/ctrlProps/ctrlProp56.xml><?xml version="1.0" encoding="utf-8"?>
<formControlPr xmlns="http://schemas.microsoft.com/office/spreadsheetml/2009/9/main" objectType="CheckBox" fmlaLink="$C$19" lockText="1" noThreeD="1"/>
</file>

<file path=xl/ctrlProps/ctrlProp57.xml><?xml version="1.0" encoding="utf-8"?>
<formControlPr xmlns="http://schemas.microsoft.com/office/spreadsheetml/2009/9/main" objectType="CheckBox" checked="Checked" fmlaLink="$B$17" lockText="1" noThreeD="1"/>
</file>

<file path=xl/ctrlProps/ctrlProp58.xml><?xml version="1.0" encoding="utf-8"?>
<formControlPr xmlns="http://schemas.microsoft.com/office/spreadsheetml/2009/9/main" objectType="Spin" dx="22" fmlaLink="$W$33" max="14" noThreeD="1" page="10"/>
</file>

<file path=xl/ctrlProps/ctrlProp59.xml><?xml version="1.0" encoding="utf-8"?>
<formControlPr xmlns="http://schemas.microsoft.com/office/spreadsheetml/2009/9/main" objectType="Spin" dx="22" fmlaLink="$W$34" max="21" noThreeD="1" page="10" val="3"/>
</file>

<file path=xl/ctrlProps/ctrlProp6.xml><?xml version="1.0" encoding="utf-8"?>
<formControlPr xmlns="http://schemas.microsoft.com/office/spreadsheetml/2009/9/main" objectType="Spin" dx="22" fmlaLink="$W$29" max="8" noThreeD="1" page="10" val="0"/>
</file>

<file path=xl/ctrlProps/ctrlProp60.xml><?xml version="1.0" encoding="utf-8"?>
<formControlPr xmlns="http://schemas.microsoft.com/office/spreadsheetml/2009/9/main" objectType="Spin" dx="22" fmlaLink="$W$29" max="8" noThreeD="1" page="10" val="0"/>
</file>

<file path=xl/ctrlProps/ctrlProp61.xml><?xml version="1.0" encoding="utf-8"?>
<formControlPr xmlns="http://schemas.microsoft.com/office/spreadsheetml/2009/9/main" objectType="Spin" dx="22" fmlaLink="$W$28" max="12" noThreeD="1" page="10" val="7"/>
</file>

<file path=xl/ctrlProps/ctrlProp62.xml><?xml version="1.0" encoding="utf-8"?>
<formControlPr xmlns="http://schemas.microsoft.com/office/spreadsheetml/2009/9/main" objectType="Spin" dx="22" fmlaLink="$W$30" max="35" noThreeD="1" page="10" val="0"/>
</file>

<file path=xl/ctrlProps/ctrlProp63.xml><?xml version="1.0" encoding="utf-8"?>
<formControlPr xmlns="http://schemas.microsoft.com/office/spreadsheetml/2009/9/main" objectType="Spin" dx="22" fmlaLink="$W$35" max="17" noThreeD="1" page="10"/>
</file>

<file path=xl/ctrlProps/ctrlProp64.xml><?xml version="1.0" encoding="utf-8"?>
<formControlPr xmlns="http://schemas.microsoft.com/office/spreadsheetml/2009/9/main" objectType="Spin" dx="22" fmlaLink="$W$36" max="21" noThreeD="1" page="10" val="7"/>
</file>

<file path=xl/ctrlProps/ctrlProp65.xml><?xml version="1.0" encoding="utf-8"?>
<formControlPr xmlns="http://schemas.microsoft.com/office/spreadsheetml/2009/9/main" objectType="Spin" dx="22" fmlaLink="$W$37" max="31" noThreeD="1" page="10"/>
</file>

<file path=xl/ctrlProps/ctrlProp66.xml><?xml version="1.0" encoding="utf-8"?>
<formControlPr xmlns="http://schemas.microsoft.com/office/spreadsheetml/2009/9/main" objectType="Spin" dx="22" fmlaLink="$W$38" max="14" noThreeD="1" page="10" val="0"/>
</file>

<file path=xl/ctrlProps/ctrlProp67.xml><?xml version="1.0" encoding="utf-8"?>
<formControlPr xmlns="http://schemas.microsoft.com/office/spreadsheetml/2009/9/main" objectType="CheckBox" fmlaLink="$C$20" lockText="1" noThreeD="1"/>
</file>

<file path=xl/ctrlProps/ctrlProp68.xml><?xml version="1.0" encoding="utf-8"?>
<formControlPr xmlns="http://schemas.microsoft.com/office/spreadsheetml/2009/9/main" objectType="Spin" dx="22" fmlaLink="$W$40" max="42" noThreeD="1" page="10" val="20"/>
</file>

<file path=xl/ctrlProps/ctrlProp69.xml><?xml version="1.0" encoding="utf-8"?>
<formControlPr xmlns="http://schemas.microsoft.com/office/spreadsheetml/2009/9/main" objectType="Spin" dx="22" fmlaLink="$W$41" max="14" noThreeD="1" page="10" val="0"/>
</file>

<file path=xl/ctrlProps/ctrlProp7.xml><?xml version="1.0" encoding="utf-8"?>
<formControlPr xmlns="http://schemas.microsoft.com/office/spreadsheetml/2009/9/main" objectType="Spin" dx="22" fmlaLink="$W$30" max="21" noThreeD="1" page="10" val="0"/>
</file>

<file path=xl/ctrlProps/ctrlProp70.xml><?xml version="1.0" encoding="utf-8"?>
<formControlPr xmlns="http://schemas.microsoft.com/office/spreadsheetml/2009/9/main" objectType="Spin" dx="22" fmlaLink="$W$43" max="70" noThreeD="1" page="10" val="0"/>
</file>

<file path=xl/ctrlProps/ctrlProp71.xml><?xml version="1.0" encoding="utf-8"?>
<formControlPr xmlns="http://schemas.microsoft.com/office/spreadsheetml/2009/9/main" objectType="Spin" dx="22" fmlaLink="$W$27" max="14" noThreeD="1" page="10" val="0"/>
</file>

<file path=xl/ctrlProps/ctrlProp72.xml><?xml version="1.0" encoding="utf-8"?>
<formControlPr xmlns="http://schemas.microsoft.com/office/spreadsheetml/2009/9/main" objectType="CheckBox" fmlaLink="$B$15" noThreeD="1"/>
</file>

<file path=xl/ctrlProps/ctrlProp8.xml><?xml version="1.0" encoding="utf-8"?>
<formControlPr xmlns="http://schemas.microsoft.com/office/spreadsheetml/2009/9/main" objectType="CheckBox" checked="Checked" fmlaLink="$B$17" lockText="1" noThreeD="1"/>
</file>

<file path=xl/ctrlProps/ctrlProp9.xml><?xml version="1.0" encoding="utf-8"?>
<formControlPr xmlns="http://schemas.microsoft.com/office/spreadsheetml/2009/9/main" objectType="Spin" dx="22" fmlaLink="$W$32" max="14" noThreeD="1" page="1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14</xdr:col>
      <xdr:colOff>19050</xdr:colOff>
      <xdr:row>1</xdr:row>
      <xdr:rowOff>28575</xdr:rowOff>
    </xdr:from>
    <xdr:to>
      <xdr:col>17</xdr:col>
      <xdr:colOff>590550</xdr:colOff>
      <xdr:row>5</xdr:row>
      <xdr:rowOff>76200</xdr:rowOff>
    </xdr:to>
    <xdr:pic>
      <xdr:nvPicPr>
        <xdr:cNvPr id="2" name="Afbeelding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3850" y="419100"/>
          <a:ext cx="240030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8</xdr:row>
          <xdr:rowOff>0</xdr:rowOff>
        </xdr:from>
        <xdr:to>
          <xdr:col>18</xdr:col>
          <xdr:colOff>133350</xdr:colOff>
          <xdr:row>9</xdr:row>
          <xdr:rowOff>9525</xdr:rowOff>
        </xdr:to>
        <xdr:sp macro="" textlink="">
          <xdr:nvSpPr>
            <xdr:cNvPr id="4098" name="Drop Down 2" hidden="1">
              <a:extLst>
                <a:ext uri="{63B3BB69-23CF-44E3-9099-C40C66FF867C}">
                  <a14:compatExt spid="_x0000_s4098"/>
                </a:ext>
                <a:ext uri="{FF2B5EF4-FFF2-40B4-BE49-F238E27FC236}">
                  <a16:creationId xmlns="" xmlns:a16="http://schemas.microsoft.com/office/drawing/2014/main" id="{00000000-0008-0000-00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15</xdr:row>
          <xdr:rowOff>0</xdr:rowOff>
        </xdr:from>
        <xdr:to>
          <xdr:col>17</xdr:col>
          <xdr:colOff>222381</xdr:colOff>
          <xdr:row>15</xdr:row>
          <xdr:rowOff>180975</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Vooraankondiging gepubliceerd?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17</xdr:row>
          <xdr:rowOff>9525</xdr:rowOff>
        </xdr:from>
        <xdr:to>
          <xdr:col>17</xdr:col>
          <xdr:colOff>222381</xdr:colOff>
          <xdr:row>18</xdr:row>
          <xdr:rowOff>0</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Elektronische inschrijving toegestaan?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19</xdr:row>
          <xdr:rowOff>9525</xdr:rowOff>
        </xdr:from>
        <xdr:to>
          <xdr:col>17</xdr:col>
          <xdr:colOff>222381</xdr:colOff>
          <xdr:row>20</xdr:row>
          <xdr:rowOff>9525</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Schouw of aanwijzing opnemen?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19050</xdr:rowOff>
        </xdr:from>
        <xdr:to>
          <xdr:col>18</xdr:col>
          <xdr:colOff>123825</xdr:colOff>
          <xdr:row>7</xdr:row>
          <xdr:rowOff>28575</xdr:rowOff>
        </xdr:to>
        <xdr:sp macro="" textlink="">
          <xdr:nvSpPr>
            <xdr:cNvPr id="4104" name="Drop Down 8" hidden="1">
              <a:extLst>
                <a:ext uri="{63B3BB69-23CF-44E3-9099-C40C66FF867C}">
                  <a14:compatExt spid="_x0000_s4104"/>
                </a:ext>
                <a:ext uri="{FF2B5EF4-FFF2-40B4-BE49-F238E27FC236}">
                  <a16:creationId xmlns="" xmlns:a16="http://schemas.microsoft.com/office/drawing/2014/main" id="{00000000-0008-0000-00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28</xdr:row>
          <xdr:rowOff>9525</xdr:rowOff>
        </xdr:from>
        <xdr:to>
          <xdr:col>23</xdr:col>
          <xdr:colOff>114300</xdr:colOff>
          <xdr:row>28</xdr:row>
          <xdr:rowOff>180975</xdr:rowOff>
        </xdr:to>
        <xdr:sp macro="" textlink="">
          <xdr:nvSpPr>
            <xdr:cNvPr id="4107" name="Spinner 11" hidden="1">
              <a:extLst>
                <a:ext uri="{63B3BB69-23CF-44E3-9099-C40C66FF867C}">
                  <a14:compatExt spid="_x0000_s4107"/>
                </a:ext>
                <a:ext uri="{FF2B5EF4-FFF2-40B4-BE49-F238E27FC236}">
                  <a16:creationId xmlns="" xmlns:a16="http://schemas.microsoft.com/office/drawing/2014/main" id="{00000000-0008-0000-0000-00000B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29</xdr:row>
          <xdr:rowOff>0</xdr:rowOff>
        </xdr:from>
        <xdr:to>
          <xdr:col>23</xdr:col>
          <xdr:colOff>114300</xdr:colOff>
          <xdr:row>29</xdr:row>
          <xdr:rowOff>171450</xdr:rowOff>
        </xdr:to>
        <xdr:sp macro="" textlink="">
          <xdr:nvSpPr>
            <xdr:cNvPr id="4108" name="Spinner 12" hidden="1">
              <a:extLst>
                <a:ext uri="{63B3BB69-23CF-44E3-9099-C40C66FF867C}">
                  <a14:compatExt spid="_x0000_s4108"/>
                </a:ext>
                <a:ext uri="{FF2B5EF4-FFF2-40B4-BE49-F238E27FC236}">
                  <a16:creationId xmlns="" xmlns:a16="http://schemas.microsoft.com/office/drawing/2014/main" id="{00000000-0008-0000-0000-00000C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16</xdr:row>
          <xdr:rowOff>0</xdr:rowOff>
        </xdr:from>
        <xdr:to>
          <xdr:col>22</xdr:col>
          <xdr:colOff>94141</xdr:colOff>
          <xdr:row>17</xdr:row>
          <xdr:rowOff>0</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Aanbestedingsstukken digitaal beschikbaar?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31</xdr:row>
          <xdr:rowOff>0</xdr:rowOff>
        </xdr:from>
        <xdr:to>
          <xdr:col>23</xdr:col>
          <xdr:colOff>114300</xdr:colOff>
          <xdr:row>31</xdr:row>
          <xdr:rowOff>171450</xdr:rowOff>
        </xdr:to>
        <xdr:sp macro="" textlink="">
          <xdr:nvSpPr>
            <xdr:cNvPr id="4114" name="Spinner 18" hidden="1">
              <a:extLst>
                <a:ext uri="{63B3BB69-23CF-44E3-9099-C40C66FF867C}">
                  <a14:compatExt spid="_x0000_s4114"/>
                </a:ext>
                <a:ext uri="{FF2B5EF4-FFF2-40B4-BE49-F238E27FC236}">
                  <a16:creationId xmlns="" xmlns:a16="http://schemas.microsoft.com/office/drawing/2014/main" id="{00000000-0008-0000-0000-000012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27</xdr:row>
          <xdr:rowOff>9525</xdr:rowOff>
        </xdr:from>
        <xdr:to>
          <xdr:col>23</xdr:col>
          <xdr:colOff>114300</xdr:colOff>
          <xdr:row>27</xdr:row>
          <xdr:rowOff>180975</xdr:rowOff>
        </xdr:to>
        <xdr:sp macro="" textlink="">
          <xdr:nvSpPr>
            <xdr:cNvPr id="4115" name="Spinner 19" hidden="1">
              <a:extLst>
                <a:ext uri="{63B3BB69-23CF-44E3-9099-C40C66FF867C}">
                  <a14:compatExt spid="_x0000_s4115"/>
                </a:ext>
                <a:ext uri="{FF2B5EF4-FFF2-40B4-BE49-F238E27FC236}">
                  <a16:creationId xmlns="" xmlns:a16="http://schemas.microsoft.com/office/drawing/2014/main" id="{00000000-0008-0000-0000-000013100000}"/>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32</xdr:row>
          <xdr:rowOff>0</xdr:rowOff>
        </xdr:from>
        <xdr:to>
          <xdr:col>23</xdr:col>
          <xdr:colOff>114300</xdr:colOff>
          <xdr:row>32</xdr:row>
          <xdr:rowOff>171450</xdr:rowOff>
        </xdr:to>
        <xdr:sp macro="" textlink="">
          <xdr:nvSpPr>
            <xdr:cNvPr id="4116" name="Spinner 20" hidden="1">
              <a:extLst>
                <a:ext uri="{63B3BB69-23CF-44E3-9099-C40C66FF867C}">
                  <a14:compatExt spid="_x0000_s4116"/>
                </a:ext>
                <a:ext uri="{FF2B5EF4-FFF2-40B4-BE49-F238E27FC236}">
                  <a16:creationId xmlns="" xmlns:a16="http://schemas.microsoft.com/office/drawing/2014/main" id="{00000000-0008-0000-0000-000014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33</xdr:row>
          <xdr:rowOff>0</xdr:rowOff>
        </xdr:from>
        <xdr:to>
          <xdr:col>23</xdr:col>
          <xdr:colOff>114300</xdr:colOff>
          <xdr:row>33</xdr:row>
          <xdr:rowOff>171450</xdr:rowOff>
        </xdr:to>
        <xdr:sp macro="" textlink="">
          <xdr:nvSpPr>
            <xdr:cNvPr id="4117" name="Spinner 21" hidden="1">
              <a:extLst>
                <a:ext uri="{63B3BB69-23CF-44E3-9099-C40C66FF867C}">
                  <a14:compatExt spid="_x0000_s4117"/>
                </a:ext>
                <a:ext uri="{FF2B5EF4-FFF2-40B4-BE49-F238E27FC236}">
                  <a16:creationId xmlns="" xmlns:a16="http://schemas.microsoft.com/office/drawing/2014/main" id="{00000000-0008-0000-0000-000015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34</xdr:row>
          <xdr:rowOff>0</xdr:rowOff>
        </xdr:from>
        <xdr:to>
          <xdr:col>23</xdr:col>
          <xdr:colOff>114300</xdr:colOff>
          <xdr:row>34</xdr:row>
          <xdr:rowOff>171450</xdr:rowOff>
        </xdr:to>
        <xdr:sp macro="" textlink="">
          <xdr:nvSpPr>
            <xdr:cNvPr id="4118" name="Spinner 22" hidden="1">
              <a:extLst>
                <a:ext uri="{63B3BB69-23CF-44E3-9099-C40C66FF867C}">
                  <a14:compatExt spid="_x0000_s4118"/>
                </a:ext>
                <a:ext uri="{FF2B5EF4-FFF2-40B4-BE49-F238E27FC236}">
                  <a16:creationId xmlns="" xmlns:a16="http://schemas.microsoft.com/office/drawing/2014/main" id="{00000000-0008-0000-0000-000016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0</xdr:rowOff>
        </xdr:from>
        <xdr:to>
          <xdr:col>23</xdr:col>
          <xdr:colOff>114300</xdr:colOff>
          <xdr:row>37</xdr:row>
          <xdr:rowOff>171450</xdr:rowOff>
        </xdr:to>
        <xdr:sp macro="" textlink="">
          <xdr:nvSpPr>
            <xdr:cNvPr id="4119" name="Spinner 23" hidden="1">
              <a:extLst>
                <a:ext uri="{63B3BB69-23CF-44E3-9099-C40C66FF867C}">
                  <a14:compatExt spid="_x0000_s4119"/>
                </a:ext>
                <a:ext uri="{FF2B5EF4-FFF2-40B4-BE49-F238E27FC236}">
                  <a16:creationId xmlns="" xmlns:a16="http://schemas.microsoft.com/office/drawing/2014/main" id="{00000000-0008-0000-0000-000017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42</xdr:row>
          <xdr:rowOff>9525</xdr:rowOff>
        </xdr:from>
        <xdr:to>
          <xdr:col>23</xdr:col>
          <xdr:colOff>114300</xdr:colOff>
          <xdr:row>42</xdr:row>
          <xdr:rowOff>180975</xdr:rowOff>
        </xdr:to>
        <xdr:sp macro="" textlink="">
          <xdr:nvSpPr>
            <xdr:cNvPr id="4120" name="Spinner 24" hidden="1">
              <a:extLst>
                <a:ext uri="{63B3BB69-23CF-44E3-9099-C40C66FF867C}">
                  <a14:compatExt spid="_x0000_s4120"/>
                </a:ext>
                <a:ext uri="{FF2B5EF4-FFF2-40B4-BE49-F238E27FC236}">
                  <a16:creationId xmlns="" xmlns:a16="http://schemas.microsoft.com/office/drawing/2014/main" id="{00000000-0008-0000-0000-000018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41</xdr:row>
          <xdr:rowOff>9525</xdr:rowOff>
        </xdr:from>
        <xdr:to>
          <xdr:col>23</xdr:col>
          <xdr:colOff>114300</xdr:colOff>
          <xdr:row>41</xdr:row>
          <xdr:rowOff>180975</xdr:rowOff>
        </xdr:to>
        <xdr:sp macro="" textlink="">
          <xdr:nvSpPr>
            <xdr:cNvPr id="4121" name="Spinner 25" hidden="1">
              <a:extLst>
                <a:ext uri="{63B3BB69-23CF-44E3-9099-C40C66FF867C}">
                  <a14:compatExt spid="_x0000_s4121"/>
                </a:ext>
                <a:ext uri="{FF2B5EF4-FFF2-40B4-BE49-F238E27FC236}">
                  <a16:creationId xmlns="" xmlns:a16="http://schemas.microsoft.com/office/drawing/2014/main" id="{00000000-0008-0000-0000-000019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43</xdr:row>
          <xdr:rowOff>9525</xdr:rowOff>
        </xdr:from>
        <xdr:to>
          <xdr:col>23</xdr:col>
          <xdr:colOff>114300</xdr:colOff>
          <xdr:row>43</xdr:row>
          <xdr:rowOff>180975</xdr:rowOff>
        </xdr:to>
        <xdr:sp macro="" textlink="">
          <xdr:nvSpPr>
            <xdr:cNvPr id="4122" name="Spinner 26" hidden="1">
              <a:extLst>
                <a:ext uri="{63B3BB69-23CF-44E3-9099-C40C66FF867C}">
                  <a14:compatExt spid="_x0000_s4122"/>
                </a:ext>
                <a:ext uri="{FF2B5EF4-FFF2-40B4-BE49-F238E27FC236}">
                  <a16:creationId xmlns="" xmlns:a16="http://schemas.microsoft.com/office/drawing/2014/main" id="{00000000-0008-0000-0000-00001A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46</xdr:row>
          <xdr:rowOff>0</xdr:rowOff>
        </xdr:from>
        <xdr:to>
          <xdr:col>23</xdr:col>
          <xdr:colOff>114300</xdr:colOff>
          <xdr:row>46</xdr:row>
          <xdr:rowOff>171450</xdr:rowOff>
        </xdr:to>
        <xdr:sp macro="" textlink="">
          <xdr:nvSpPr>
            <xdr:cNvPr id="4123" name="Spinner 27" hidden="1">
              <a:extLst>
                <a:ext uri="{63B3BB69-23CF-44E3-9099-C40C66FF867C}">
                  <a14:compatExt spid="_x0000_s4123"/>
                </a:ext>
                <a:ext uri="{FF2B5EF4-FFF2-40B4-BE49-F238E27FC236}">
                  <a16:creationId xmlns="" xmlns:a16="http://schemas.microsoft.com/office/drawing/2014/main" id="{00000000-0008-0000-0000-00001B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47</xdr:row>
          <xdr:rowOff>0</xdr:rowOff>
        </xdr:from>
        <xdr:to>
          <xdr:col>23</xdr:col>
          <xdr:colOff>114300</xdr:colOff>
          <xdr:row>47</xdr:row>
          <xdr:rowOff>171450</xdr:rowOff>
        </xdr:to>
        <xdr:sp macro="" textlink="">
          <xdr:nvSpPr>
            <xdr:cNvPr id="4124" name="Spinner 28" hidden="1">
              <a:extLst>
                <a:ext uri="{63B3BB69-23CF-44E3-9099-C40C66FF867C}">
                  <a14:compatExt spid="_x0000_s4124"/>
                </a:ext>
                <a:ext uri="{FF2B5EF4-FFF2-40B4-BE49-F238E27FC236}">
                  <a16:creationId xmlns="" xmlns:a16="http://schemas.microsoft.com/office/drawing/2014/main" id="{00000000-0008-0000-0000-00001C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48</xdr:row>
          <xdr:rowOff>0</xdr:rowOff>
        </xdr:from>
        <xdr:to>
          <xdr:col>23</xdr:col>
          <xdr:colOff>114300</xdr:colOff>
          <xdr:row>48</xdr:row>
          <xdr:rowOff>171450</xdr:rowOff>
        </xdr:to>
        <xdr:sp macro="" textlink="">
          <xdr:nvSpPr>
            <xdr:cNvPr id="4125" name="Spinner 29" hidden="1">
              <a:extLst>
                <a:ext uri="{63B3BB69-23CF-44E3-9099-C40C66FF867C}">
                  <a14:compatExt spid="_x0000_s4125"/>
                </a:ext>
                <a:ext uri="{FF2B5EF4-FFF2-40B4-BE49-F238E27FC236}">
                  <a16:creationId xmlns="" xmlns:a16="http://schemas.microsoft.com/office/drawing/2014/main" id="{00000000-0008-0000-0000-00001D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49</xdr:row>
          <xdr:rowOff>0</xdr:rowOff>
        </xdr:from>
        <xdr:to>
          <xdr:col>23</xdr:col>
          <xdr:colOff>114300</xdr:colOff>
          <xdr:row>49</xdr:row>
          <xdr:rowOff>171450</xdr:rowOff>
        </xdr:to>
        <xdr:sp macro="" textlink="">
          <xdr:nvSpPr>
            <xdr:cNvPr id="4126" name="Spinner 30" hidden="1">
              <a:extLst>
                <a:ext uri="{63B3BB69-23CF-44E3-9099-C40C66FF867C}">
                  <a14:compatExt spid="_x0000_s4126"/>
                </a:ext>
                <a:ext uri="{FF2B5EF4-FFF2-40B4-BE49-F238E27FC236}">
                  <a16:creationId xmlns="" xmlns:a16="http://schemas.microsoft.com/office/drawing/2014/main" id="{00000000-0008-0000-0000-00001E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50</xdr:row>
          <xdr:rowOff>0</xdr:rowOff>
        </xdr:from>
        <xdr:to>
          <xdr:col>23</xdr:col>
          <xdr:colOff>114300</xdr:colOff>
          <xdr:row>50</xdr:row>
          <xdr:rowOff>171450</xdr:rowOff>
        </xdr:to>
        <xdr:sp macro="" textlink="">
          <xdr:nvSpPr>
            <xdr:cNvPr id="4127" name="Spinner 31" hidden="1">
              <a:extLst>
                <a:ext uri="{63B3BB69-23CF-44E3-9099-C40C66FF867C}">
                  <a14:compatExt spid="_x0000_s4127"/>
                </a:ext>
                <a:ext uri="{FF2B5EF4-FFF2-40B4-BE49-F238E27FC236}">
                  <a16:creationId xmlns="" xmlns:a16="http://schemas.microsoft.com/office/drawing/2014/main" id="{00000000-0008-0000-0000-00001F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20</xdr:row>
          <xdr:rowOff>9525</xdr:rowOff>
        </xdr:from>
        <xdr:to>
          <xdr:col>22</xdr:col>
          <xdr:colOff>56041</xdr:colOff>
          <xdr:row>21</xdr:row>
          <xdr:rowOff>0</xdr:rowOff>
        </xdr:to>
        <xdr:sp macro="" textlink="">
          <xdr:nvSpPr>
            <xdr:cNvPr id="4128" name="Check Box 32" hidden="1">
              <a:extLst>
                <a:ext uri="{63B3BB69-23CF-44E3-9099-C40C66FF867C}">
                  <a14:compatExt spid="_x0000_s4128"/>
                </a:ext>
                <a:ext uri="{FF2B5EF4-FFF2-40B4-BE49-F238E27FC236}">
                  <a16:creationId xmlns=""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Is schouw/aanwijzing van belang voor goede inschrijving?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52</xdr:row>
          <xdr:rowOff>0</xdr:rowOff>
        </xdr:from>
        <xdr:to>
          <xdr:col>23</xdr:col>
          <xdr:colOff>114300</xdr:colOff>
          <xdr:row>52</xdr:row>
          <xdr:rowOff>171450</xdr:rowOff>
        </xdr:to>
        <xdr:sp macro="" textlink="">
          <xdr:nvSpPr>
            <xdr:cNvPr id="4129" name="Spinner 33" hidden="1">
              <a:extLst>
                <a:ext uri="{63B3BB69-23CF-44E3-9099-C40C66FF867C}">
                  <a14:compatExt spid="_x0000_s4129"/>
                </a:ext>
                <a:ext uri="{FF2B5EF4-FFF2-40B4-BE49-F238E27FC236}">
                  <a16:creationId xmlns="" xmlns:a16="http://schemas.microsoft.com/office/drawing/2014/main" id="{00000000-0008-0000-0000-000021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53</xdr:row>
          <xdr:rowOff>0</xdr:rowOff>
        </xdr:from>
        <xdr:to>
          <xdr:col>23</xdr:col>
          <xdr:colOff>114300</xdr:colOff>
          <xdr:row>53</xdr:row>
          <xdr:rowOff>171450</xdr:rowOff>
        </xdr:to>
        <xdr:sp macro="" textlink="">
          <xdr:nvSpPr>
            <xdr:cNvPr id="4130" name="Spinner 34" hidden="1">
              <a:extLst>
                <a:ext uri="{63B3BB69-23CF-44E3-9099-C40C66FF867C}">
                  <a14:compatExt spid="_x0000_s4130"/>
                </a:ext>
                <a:ext uri="{FF2B5EF4-FFF2-40B4-BE49-F238E27FC236}">
                  <a16:creationId xmlns="" xmlns:a16="http://schemas.microsoft.com/office/drawing/2014/main" id="{00000000-0008-0000-0000-000022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56</xdr:row>
          <xdr:rowOff>0</xdr:rowOff>
        </xdr:from>
        <xdr:to>
          <xdr:col>23</xdr:col>
          <xdr:colOff>114300</xdr:colOff>
          <xdr:row>56</xdr:row>
          <xdr:rowOff>171450</xdr:rowOff>
        </xdr:to>
        <xdr:sp macro="" textlink="">
          <xdr:nvSpPr>
            <xdr:cNvPr id="4131" name="Spinner 35" hidden="1">
              <a:extLst>
                <a:ext uri="{63B3BB69-23CF-44E3-9099-C40C66FF867C}">
                  <a14:compatExt spid="_x0000_s4131"/>
                </a:ext>
                <a:ext uri="{FF2B5EF4-FFF2-40B4-BE49-F238E27FC236}">
                  <a16:creationId xmlns="" xmlns:a16="http://schemas.microsoft.com/office/drawing/2014/main" id="{00000000-0008-0000-0000-000023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40</xdr:row>
          <xdr:rowOff>0</xdr:rowOff>
        </xdr:from>
        <xdr:to>
          <xdr:col>23</xdr:col>
          <xdr:colOff>114300</xdr:colOff>
          <xdr:row>40</xdr:row>
          <xdr:rowOff>171450</xdr:rowOff>
        </xdr:to>
        <xdr:sp macro="" textlink="">
          <xdr:nvSpPr>
            <xdr:cNvPr id="4132" name="Spinner 36" hidden="1">
              <a:extLst>
                <a:ext uri="{63B3BB69-23CF-44E3-9099-C40C66FF867C}">
                  <a14:compatExt spid="_x0000_s4132"/>
                </a:ext>
                <a:ext uri="{FF2B5EF4-FFF2-40B4-BE49-F238E27FC236}">
                  <a16:creationId xmlns="" xmlns:a16="http://schemas.microsoft.com/office/drawing/2014/main" id="{00000000-0008-0000-0000-000024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xdr:row>
          <xdr:rowOff>0</xdr:rowOff>
        </xdr:from>
        <xdr:to>
          <xdr:col>22</xdr:col>
          <xdr:colOff>107661</xdr:colOff>
          <xdr:row>15</xdr:row>
          <xdr:rowOff>0</xdr:rowOff>
        </xdr:to>
        <xdr:sp macro="" textlink="">
          <xdr:nvSpPr>
            <xdr:cNvPr id="4141" name="Check Box 45" hidden="1">
              <a:extLst>
                <a:ext uri="{63B3BB69-23CF-44E3-9099-C40C66FF867C}">
                  <a14:compatExt spid="_x0000_s4141"/>
                </a:ext>
                <a:ext uri="{FF2B5EF4-FFF2-40B4-BE49-F238E27FC236}">
                  <a16:creationId xmlns=""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Is sprake van een onderbouwde urgente situatie?</a:t>
              </a:r>
            </a:p>
          </xdr:txBody>
        </xdr:sp>
        <xdr:clientData/>
      </xdr:twoCellAnchor>
    </mc:Choice>
    <mc:Fallback/>
  </mc:AlternateContent>
  <xdr:twoCellAnchor>
    <xdr:from>
      <xdr:col>22</xdr:col>
      <xdr:colOff>61751</xdr:colOff>
      <xdr:row>25</xdr:row>
      <xdr:rowOff>89647</xdr:rowOff>
    </xdr:from>
    <xdr:to>
      <xdr:col>24</xdr:col>
      <xdr:colOff>0</xdr:colOff>
      <xdr:row>26</xdr:row>
      <xdr:rowOff>165307</xdr:rowOff>
    </xdr:to>
    <xdr:sp macro="" textlink="">
      <xdr:nvSpPr>
        <xdr:cNvPr id="5" name="Gebogen pijl 4">
          <a:extLst>
            <a:ext uri="{FF2B5EF4-FFF2-40B4-BE49-F238E27FC236}">
              <a16:creationId xmlns="" xmlns:a16="http://schemas.microsoft.com/office/drawing/2014/main" id="{00000000-0008-0000-0000-000005000000}"/>
            </a:ext>
          </a:extLst>
        </xdr:cNvPr>
        <xdr:cNvSpPr/>
      </xdr:nvSpPr>
      <xdr:spPr>
        <a:xfrm rot="16200000" flipH="1">
          <a:off x="4996472" y="4635103"/>
          <a:ext cx="277365" cy="59939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9</xdr:row>
          <xdr:rowOff>161925</xdr:rowOff>
        </xdr:from>
        <xdr:to>
          <xdr:col>18</xdr:col>
          <xdr:colOff>123825</xdr:colOff>
          <xdr:row>10</xdr:row>
          <xdr:rowOff>161925</xdr:rowOff>
        </xdr:to>
        <xdr:sp macro="" textlink="">
          <xdr:nvSpPr>
            <xdr:cNvPr id="4142" name="DTPicker1" descr="kalenderinvoer" hidden="1">
              <a:extLst>
                <a:ext uri="{63B3BB69-23CF-44E3-9099-C40C66FF867C}">
                  <a14:compatExt spid="_x0000_s4142"/>
                </a:ext>
                <a:ext uri="{FF2B5EF4-FFF2-40B4-BE49-F238E27FC236}">
                  <a16:creationId xmlns="" xmlns:a16="http://schemas.microsoft.com/office/drawing/2014/main" id="{00000000-0008-0000-00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20</xdr:col>
      <xdr:colOff>0</xdr:colOff>
      <xdr:row>57</xdr:row>
      <xdr:rowOff>85724</xdr:rowOff>
    </xdr:from>
    <xdr:to>
      <xdr:col>24</xdr:col>
      <xdr:colOff>11209</xdr:colOff>
      <xdr:row>58</xdr:row>
      <xdr:rowOff>133349</xdr:rowOff>
    </xdr:to>
    <xdr:sp macro="" textlink="">
      <xdr:nvSpPr>
        <xdr:cNvPr id="7" name="Gebogen pijl 6"/>
        <xdr:cNvSpPr/>
      </xdr:nvSpPr>
      <xdr:spPr>
        <a:xfrm rot="16200000">
          <a:off x="6001592" y="10248057"/>
          <a:ext cx="238125" cy="716059"/>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247650</xdr:colOff>
          <xdr:row>18</xdr:row>
          <xdr:rowOff>9525</xdr:rowOff>
        </xdr:from>
        <xdr:to>
          <xdr:col>22</xdr:col>
          <xdr:colOff>94141</xdr:colOff>
          <xdr:row>19</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Rekening houden met opschortende termijn na selectie?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36</xdr:row>
          <xdr:rowOff>0</xdr:rowOff>
        </xdr:from>
        <xdr:to>
          <xdr:col>23</xdr:col>
          <xdr:colOff>114300</xdr:colOff>
          <xdr:row>36</xdr:row>
          <xdr:rowOff>171450</xdr:rowOff>
        </xdr:to>
        <xdr:sp macro="" textlink="">
          <xdr:nvSpPr>
            <xdr:cNvPr id="4146" name="Spinner 50" hidden="1">
              <a:extLst>
                <a:ext uri="{63B3BB69-23CF-44E3-9099-C40C66FF867C}">
                  <a14:compatExt spid="_x0000_s414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7844</xdr:colOff>
          <xdr:row>35</xdr:row>
          <xdr:rowOff>0</xdr:rowOff>
        </xdr:from>
        <xdr:to>
          <xdr:col>23</xdr:col>
          <xdr:colOff>112619</xdr:colOff>
          <xdr:row>35</xdr:row>
          <xdr:rowOff>171450</xdr:rowOff>
        </xdr:to>
        <xdr:sp macro="" textlink="">
          <xdr:nvSpPr>
            <xdr:cNvPr id="4148" name="Spinner 52" hidden="1">
              <a:extLst>
                <a:ext uri="{63B3BB69-23CF-44E3-9099-C40C66FF867C}">
                  <a14:compatExt spid="_x0000_s414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8</xdr:row>
          <xdr:rowOff>38100</xdr:rowOff>
        </xdr:from>
        <xdr:to>
          <xdr:col>18</xdr:col>
          <xdr:colOff>142875</xdr:colOff>
          <xdr:row>9</xdr:row>
          <xdr:rowOff>47625</xdr:rowOff>
        </xdr:to>
        <xdr:sp macro="" textlink="">
          <xdr:nvSpPr>
            <xdr:cNvPr id="5121" name="Drop Down 1" hidden="1">
              <a:extLst>
                <a:ext uri="{63B3BB69-23CF-44E3-9099-C40C66FF867C}">
                  <a14:compatExt spid="_x0000_s5121"/>
                </a:ext>
                <a:ext uri="{FF2B5EF4-FFF2-40B4-BE49-F238E27FC236}">
                  <a16:creationId xmlns=""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15</xdr:row>
          <xdr:rowOff>0</xdr:rowOff>
        </xdr:from>
        <xdr:to>
          <xdr:col>17</xdr:col>
          <xdr:colOff>209550</xdr:colOff>
          <xdr:row>15</xdr:row>
          <xdr:rowOff>180975</xdr:rowOff>
        </xdr:to>
        <xdr:sp macro="" textlink="">
          <xdr:nvSpPr>
            <xdr:cNvPr id="5122" name="Check Box 2" hidden="1">
              <a:extLst>
                <a:ext uri="{63B3BB69-23CF-44E3-9099-C40C66FF867C}">
                  <a14:compatExt spid="_x0000_s5122"/>
                </a:ext>
                <a:ext uri="{FF2B5EF4-FFF2-40B4-BE49-F238E27FC236}">
                  <a16:creationId xmlns=""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Vooraankondiging gepubliceerd?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17</xdr:row>
          <xdr:rowOff>0</xdr:rowOff>
        </xdr:from>
        <xdr:to>
          <xdr:col>17</xdr:col>
          <xdr:colOff>209550</xdr:colOff>
          <xdr:row>17</xdr:row>
          <xdr:rowOff>180975</xdr:rowOff>
        </xdr:to>
        <xdr:sp macro="" textlink="">
          <xdr:nvSpPr>
            <xdr:cNvPr id="5123" name="Check Box 3" hidden="1">
              <a:extLst>
                <a:ext uri="{63B3BB69-23CF-44E3-9099-C40C66FF867C}">
                  <a14:compatExt spid="_x0000_s5123"/>
                </a:ext>
                <a:ext uri="{FF2B5EF4-FFF2-40B4-BE49-F238E27FC236}">
                  <a16:creationId xmlns=""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Elektronische inschrijving toegestaan?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18</xdr:row>
          <xdr:rowOff>0</xdr:rowOff>
        </xdr:from>
        <xdr:to>
          <xdr:col>17</xdr:col>
          <xdr:colOff>209550</xdr:colOff>
          <xdr:row>19</xdr:row>
          <xdr:rowOff>0</xdr:rowOff>
        </xdr:to>
        <xdr:sp macro="" textlink="">
          <xdr:nvSpPr>
            <xdr:cNvPr id="5124" name="Check Box 4" hidden="1">
              <a:extLst>
                <a:ext uri="{63B3BB69-23CF-44E3-9099-C40C66FF867C}">
                  <a14:compatExt spid="_x0000_s5124"/>
                </a:ext>
                <a:ext uri="{FF2B5EF4-FFF2-40B4-BE49-F238E27FC236}">
                  <a16:creationId xmlns=""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Schouw of aanwijzing opnemen?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19050</xdr:rowOff>
        </xdr:from>
        <xdr:to>
          <xdr:col>18</xdr:col>
          <xdr:colOff>142875</xdr:colOff>
          <xdr:row>7</xdr:row>
          <xdr:rowOff>28575</xdr:rowOff>
        </xdr:to>
        <xdr:sp macro="" textlink="">
          <xdr:nvSpPr>
            <xdr:cNvPr id="5125" name="Drop Down 5" hidden="1">
              <a:extLst>
                <a:ext uri="{63B3BB69-23CF-44E3-9099-C40C66FF867C}">
                  <a14:compatExt spid="_x0000_s5125"/>
                </a:ext>
                <a:ext uri="{FF2B5EF4-FFF2-40B4-BE49-F238E27FC236}">
                  <a16:creationId xmlns="" xmlns:a16="http://schemas.microsoft.com/office/drawing/2014/main" id="{00000000-0008-0000-01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16</xdr:row>
          <xdr:rowOff>0</xdr:rowOff>
        </xdr:from>
        <xdr:to>
          <xdr:col>22</xdr:col>
          <xdr:colOff>85725</xdr:colOff>
          <xdr:row>17</xdr:row>
          <xdr:rowOff>0</xdr:rowOff>
        </xdr:to>
        <xdr:sp macro="" textlink="">
          <xdr:nvSpPr>
            <xdr:cNvPr id="5128" name="Check Box 8" hidden="1">
              <a:extLst>
                <a:ext uri="{63B3BB69-23CF-44E3-9099-C40C66FF867C}">
                  <a14:compatExt spid="_x0000_s5128"/>
                </a:ext>
                <a:ext uri="{FF2B5EF4-FFF2-40B4-BE49-F238E27FC236}">
                  <a16:creationId xmlns=""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Aanbestedingsstukken digitaal beschikbaar?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32</xdr:row>
          <xdr:rowOff>0</xdr:rowOff>
        </xdr:from>
        <xdr:to>
          <xdr:col>23</xdr:col>
          <xdr:colOff>114300</xdr:colOff>
          <xdr:row>32</xdr:row>
          <xdr:rowOff>171450</xdr:rowOff>
        </xdr:to>
        <xdr:sp macro="" textlink="">
          <xdr:nvSpPr>
            <xdr:cNvPr id="5129" name="Spinner 9" hidden="1">
              <a:extLst>
                <a:ext uri="{63B3BB69-23CF-44E3-9099-C40C66FF867C}">
                  <a14:compatExt spid="_x0000_s5129"/>
                </a:ext>
                <a:ext uri="{FF2B5EF4-FFF2-40B4-BE49-F238E27FC236}">
                  <a16:creationId xmlns=""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33</xdr:row>
          <xdr:rowOff>0</xdr:rowOff>
        </xdr:from>
        <xdr:to>
          <xdr:col>23</xdr:col>
          <xdr:colOff>114300</xdr:colOff>
          <xdr:row>33</xdr:row>
          <xdr:rowOff>171450</xdr:rowOff>
        </xdr:to>
        <xdr:sp macro="" textlink="">
          <xdr:nvSpPr>
            <xdr:cNvPr id="5131" name="Spinner 11" hidden="1">
              <a:extLst>
                <a:ext uri="{63B3BB69-23CF-44E3-9099-C40C66FF867C}">
                  <a14:compatExt spid="_x0000_s5131"/>
                </a:ext>
                <a:ext uri="{FF2B5EF4-FFF2-40B4-BE49-F238E27FC236}">
                  <a16:creationId xmlns="" xmlns:a16="http://schemas.microsoft.com/office/drawing/2014/main" id="{00000000-0008-0000-0100-00000B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28</xdr:row>
          <xdr:rowOff>9525</xdr:rowOff>
        </xdr:from>
        <xdr:to>
          <xdr:col>23</xdr:col>
          <xdr:colOff>114300</xdr:colOff>
          <xdr:row>28</xdr:row>
          <xdr:rowOff>180975</xdr:rowOff>
        </xdr:to>
        <xdr:sp macro="" textlink="">
          <xdr:nvSpPr>
            <xdr:cNvPr id="5135" name="Spinner 15" hidden="1">
              <a:extLst>
                <a:ext uri="{63B3BB69-23CF-44E3-9099-C40C66FF867C}">
                  <a14:compatExt spid="_x0000_s5135"/>
                </a:ext>
                <a:ext uri="{FF2B5EF4-FFF2-40B4-BE49-F238E27FC236}">
                  <a16:creationId xmlns=""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27</xdr:row>
          <xdr:rowOff>9525</xdr:rowOff>
        </xdr:from>
        <xdr:to>
          <xdr:col>23</xdr:col>
          <xdr:colOff>114300</xdr:colOff>
          <xdr:row>27</xdr:row>
          <xdr:rowOff>180975</xdr:rowOff>
        </xdr:to>
        <xdr:sp macro="" textlink="">
          <xdr:nvSpPr>
            <xdr:cNvPr id="5136" name="Spinner 16" hidden="1">
              <a:extLst>
                <a:ext uri="{63B3BB69-23CF-44E3-9099-C40C66FF867C}">
                  <a14:compatExt spid="_x0000_s5136"/>
                </a:ext>
                <a:ext uri="{FF2B5EF4-FFF2-40B4-BE49-F238E27FC236}">
                  <a16:creationId xmlns="" xmlns:a16="http://schemas.microsoft.com/office/drawing/2014/main" id="{00000000-0008-0000-0100-000010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29</xdr:row>
          <xdr:rowOff>9525</xdr:rowOff>
        </xdr:from>
        <xdr:to>
          <xdr:col>23</xdr:col>
          <xdr:colOff>114300</xdr:colOff>
          <xdr:row>29</xdr:row>
          <xdr:rowOff>180975</xdr:rowOff>
        </xdr:to>
        <xdr:sp macro="" textlink="">
          <xdr:nvSpPr>
            <xdr:cNvPr id="5137" name="Spinner 17" hidden="1">
              <a:extLst>
                <a:ext uri="{63B3BB69-23CF-44E3-9099-C40C66FF867C}">
                  <a14:compatExt spid="_x0000_s5137"/>
                </a:ext>
                <a:ext uri="{FF2B5EF4-FFF2-40B4-BE49-F238E27FC236}">
                  <a16:creationId xmlns="" xmlns:a16="http://schemas.microsoft.com/office/drawing/2014/main" id="{00000000-0008-0000-0100-00001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34</xdr:row>
          <xdr:rowOff>0</xdr:rowOff>
        </xdr:from>
        <xdr:to>
          <xdr:col>23</xdr:col>
          <xdr:colOff>114300</xdr:colOff>
          <xdr:row>34</xdr:row>
          <xdr:rowOff>171450</xdr:rowOff>
        </xdr:to>
        <xdr:sp macro="" textlink="">
          <xdr:nvSpPr>
            <xdr:cNvPr id="5138" name="Spinner 18" hidden="1">
              <a:extLst>
                <a:ext uri="{63B3BB69-23CF-44E3-9099-C40C66FF867C}">
                  <a14:compatExt spid="_x0000_s5138"/>
                </a:ext>
                <a:ext uri="{FF2B5EF4-FFF2-40B4-BE49-F238E27FC236}">
                  <a16:creationId xmlns=""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35</xdr:row>
          <xdr:rowOff>0</xdr:rowOff>
        </xdr:from>
        <xdr:to>
          <xdr:col>23</xdr:col>
          <xdr:colOff>114300</xdr:colOff>
          <xdr:row>35</xdr:row>
          <xdr:rowOff>171450</xdr:rowOff>
        </xdr:to>
        <xdr:sp macro="" textlink="">
          <xdr:nvSpPr>
            <xdr:cNvPr id="5139" name="Spinner 19" hidden="1">
              <a:extLst>
                <a:ext uri="{63B3BB69-23CF-44E3-9099-C40C66FF867C}">
                  <a14:compatExt spid="_x0000_s5139"/>
                </a:ext>
                <a:ext uri="{FF2B5EF4-FFF2-40B4-BE49-F238E27FC236}">
                  <a16:creationId xmlns="" xmlns:a16="http://schemas.microsoft.com/office/drawing/2014/main" id="{00000000-0008-0000-0100-00001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36</xdr:row>
          <xdr:rowOff>0</xdr:rowOff>
        </xdr:from>
        <xdr:to>
          <xdr:col>23</xdr:col>
          <xdr:colOff>114300</xdr:colOff>
          <xdr:row>36</xdr:row>
          <xdr:rowOff>171450</xdr:rowOff>
        </xdr:to>
        <xdr:sp macro="" textlink="">
          <xdr:nvSpPr>
            <xdr:cNvPr id="5140" name="Spinner 20" hidden="1">
              <a:extLst>
                <a:ext uri="{63B3BB69-23CF-44E3-9099-C40C66FF867C}">
                  <a14:compatExt spid="_x0000_s5140"/>
                </a:ext>
                <a:ext uri="{FF2B5EF4-FFF2-40B4-BE49-F238E27FC236}">
                  <a16:creationId xmlns="" xmlns:a16="http://schemas.microsoft.com/office/drawing/2014/main" id="{00000000-0008-0000-0100-00001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0</xdr:rowOff>
        </xdr:from>
        <xdr:to>
          <xdr:col>23</xdr:col>
          <xdr:colOff>114300</xdr:colOff>
          <xdr:row>37</xdr:row>
          <xdr:rowOff>171450</xdr:rowOff>
        </xdr:to>
        <xdr:sp macro="" textlink="">
          <xdr:nvSpPr>
            <xdr:cNvPr id="5141" name="Spinner 21" hidden="1">
              <a:extLst>
                <a:ext uri="{63B3BB69-23CF-44E3-9099-C40C66FF867C}">
                  <a14:compatExt spid="_x0000_s5141"/>
                </a:ext>
                <a:ext uri="{FF2B5EF4-FFF2-40B4-BE49-F238E27FC236}">
                  <a16:creationId xmlns="" xmlns:a16="http://schemas.microsoft.com/office/drawing/2014/main" id="{00000000-0008-0000-0100-00001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38</xdr:row>
          <xdr:rowOff>0</xdr:rowOff>
        </xdr:from>
        <xdr:to>
          <xdr:col>23</xdr:col>
          <xdr:colOff>114300</xdr:colOff>
          <xdr:row>38</xdr:row>
          <xdr:rowOff>171450</xdr:rowOff>
        </xdr:to>
        <xdr:sp macro="" textlink="">
          <xdr:nvSpPr>
            <xdr:cNvPr id="5142" name="Spinner 22" hidden="1">
              <a:extLst>
                <a:ext uri="{63B3BB69-23CF-44E3-9099-C40C66FF867C}">
                  <a14:compatExt spid="_x0000_s5142"/>
                </a:ext>
                <a:ext uri="{FF2B5EF4-FFF2-40B4-BE49-F238E27FC236}">
                  <a16:creationId xmlns="" xmlns:a16="http://schemas.microsoft.com/office/drawing/2014/main" id="{00000000-0008-0000-0100-00001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19</xdr:row>
          <xdr:rowOff>0</xdr:rowOff>
        </xdr:from>
        <xdr:to>
          <xdr:col>22</xdr:col>
          <xdr:colOff>47625</xdr:colOff>
          <xdr:row>19</xdr:row>
          <xdr:rowOff>190500</xdr:rowOff>
        </xdr:to>
        <xdr:sp macro="" textlink="">
          <xdr:nvSpPr>
            <xdr:cNvPr id="5143" name="Check Box 23" hidden="1">
              <a:extLst>
                <a:ext uri="{63B3BB69-23CF-44E3-9099-C40C66FF867C}">
                  <a14:compatExt spid="_x0000_s5143"/>
                </a:ext>
                <a:ext uri="{FF2B5EF4-FFF2-40B4-BE49-F238E27FC236}">
                  <a16:creationId xmlns=""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Is schouw/aanwijzing van belang voor goede inschrijving?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40</xdr:row>
          <xdr:rowOff>0</xdr:rowOff>
        </xdr:from>
        <xdr:to>
          <xdr:col>23</xdr:col>
          <xdr:colOff>114300</xdr:colOff>
          <xdr:row>40</xdr:row>
          <xdr:rowOff>171450</xdr:rowOff>
        </xdr:to>
        <xdr:sp macro="" textlink="">
          <xdr:nvSpPr>
            <xdr:cNvPr id="5144" name="Spinner 24" hidden="1">
              <a:extLst>
                <a:ext uri="{63B3BB69-23CF-44E3-9099-C40C66FF867C}">
                  <a14:compatExt spid="_x0000_s5144"/>
                </a:ext>
                <a:ext uri="{FF2B5EF4-FFF2-40B4-BE49-F238E27FC236}">
                  <a16:creationId xmlns=""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41</xdr:row>
          <xdr:rowOff>0</xdr:rowOff>
        </xdr:from>
        <xdr:to>
          <xdr:col>23</xdr:col>
          <xdr:colOff>114300</xdr:colOff>
          <xdr:row>41</xdr:row>
          <xdr:rowOff>171450</xdr:rowOff>
        </xdr:to>
        <xdr:sp macro="" textlink="">
          <xdr:nvSpPr>
            <xdr:cNvPr id="5145" name="Spinner 25" hidden="1">
              <a:extLst>
                <a:ext uri="{63B3BB69-23CF-44E3-9099-C40C66FF867C}">
                  <a14:compatExt spid="_x0000_s5145"/>
                </a:ext>
                <a:ext uri="{FF2B5EF4-FFF2-40B4-BE49-F238E27FC236}">
                  <a16:creationId xmlns="" xmlns:a16="http://schemas.microsoft.com/office/drawing/2014/main" id="{00000000-0008-0000-0100-00001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44</xdr:row>
          <xdr:rowOff>0</xdr:rowOff>
        </xdr:from>
        <xdr:to>
          <xdr:col>23</xdr:col>
          <xdr:colOff>114300</xdr:colOff>
          <xdr:row>44</xdr:row>
          <xdr:rowOff>171450</xdr:rowOff>
        </xdr:to>
        <xdr:sp macro="" textlink="">
          <xdr:nvSpPr>
            <xdr:cNvPr id="5146" name="Spinner 26" hidden="1">
              <a:extLst>
                <a:ext uri="{63B3BB69-23CF-44E3-9099-C40C66FF867C}">
                  <a14:compatExt spid="_x0000_s5146"/>
                </a:ext>
                <a:ext uri="{FF2B5EF4-FFF2-40B4-BE49-F238E27FC236}">
                  <a16:creationId xmlns="" xmlns:a16="http://schemas.microsoft.com/office/drawing/2014/main" id="{00000000-0008-0000-0100-00001A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26</xdr:row>
          <xdr:rowOff>0</xdr:rowOff>
        </xdr:from>
        <xdr:to>
          <xdr:col>23</xdr:col>
          <xdr:colOff>114300</xdr:colOff>
          <xdr:row>26</xdr:row>
          <xdr:rowOff>171450</xdr:rowOff>
        </xdr:to>
        <xdr:sp macro="" textlink="">
          <xdr:nvSpPr>
            <xdr:cNvPr id="5147" name="Spinner 27" hidden="1">
              <a:extLst>
                <a:ext uri="{63B3BB69-23CF-44E3-9099-C40C66FF867C}">
                  <a14:compatExt spid="_x0000_s5147"/>
                </a:ext>
                <a:ext uri="{FF2B5EF4-FFF2-40B4-BE49-F238E27FC236}">
                  <a16:creationId xmlns=""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14</xdr:row>
          <xdr:rowOff>0</xdr:rowOff>
        </xdr:from>
        <xdr:to>
          <xdr:col>22</xdr:col>
          <xdr:colOff>85725</xdr:colOff>
          <xdr:row>15</xdr:row>
          <xdr:rowOff>0</xdr:rowOff>
        </xdr:to>
        <xdr:sp macro="" textlink="">
          <xdr:nvSpPr>
            <xdr:cNvPr id="5148" name="Check Box 28" hidden="1">
              <a:extLst>
                <a:ext uri="{63B3BB69-23CF-44E3-9099-C40C66FF867C}">
                  <a14:compatExt spid="_x0000_s5148"/>
                </a:ext>
                <a:ext uri="{FF2B5EF4-FFF2-40B4-BE49-F238E27FC236}">
                  <a16:creationId xmlns=""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Is sprake van een onderbouwde urgente situatie?</a:t>
              </a:r>
            </a:p>
          </xdr:txBody>
        </xdr:sp>
        <xdr:clientData/>
      </xdr:twoCellAnchor>
    </mc:Choice>
    <mc:Fallback/>
  </mc:AlternateContent>
  <xdr:twoCellAnchor>
    <xdr:from>
      <xdr:col>22</xdr:col>
      <xdr:colOff>61751</xdr:colOff>
      <xdr:row>24</xdr:row>
      <xdr:rowOff>91056</xdr:rowOff>
    </xdr:from>
    <xdr:to>
      <xdr:col>24</xdr:col>
      <xdr:colOff>0</xdr:colOff>
      <xdr:row>25</xdr:row>
      <xdr:rowOff>165308</xdr:rowOff>
    </xdr:to>
    <xdr:sp macro="" textlink="">
      <xdr:nvSpPr>
        <xdr:cNvPr id="30" name="Gebogen pijl 29">
          <a:extLst>
            <a:ext uri="{FF2B5EF4-FFF2-40B4-BE49-F238E27FC236}">
              <a16:creationId xmlns="" xmlns:a16="http://schemas.microsoft.com/office/drawing/2014/main" id="{00000000-0008-0000-0100-00001E000000}"/>
            </a:ext>
          </a:extLst>
        </xdr:cNvPr>
        <xdr:cNvSpPr/>
      </xdr:nvSpPr>
      <xdr:spPr>
        <a:xfrm rot="16200000" flipH="1">
          <a:off x="7208938" y="4535794"/>
          <a:ext cx="274277" cy="58595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9</xdr:row>
          <xdr:rowOff>161925</xdr:rowOff>
        </xdr:from>
        <xdr:to>
          <xdr:col>18</xdr:col>
          <xdr:colOff>133350</xdr:colOff>
          <xdr:row>10</xdr:row>
          <xdr:rowOff>161925</xdr:rowOff>
        </xdr:to>
        <xdr:sp macro="" textlink="">
          <xdr:nvSpPr>
            <xdr:cNvPr id="5149" name="DTPicker1" descr="kalenderinvoer" hidden="1">
              <a:extLst>
                <a:ext uri="{63B3BB69-23CF-44E3-9099-C40C66FF867C}">
                  <a14:compatExt spid="_x0000_s5149"/>
                </a:ext>
                <a:ext uri="{FF2B5EF4-FFF2-40B4-BE49-F238E27FC236}">
                  <a16:creationId xmlns="" xmlns:a16="http://schemas.microsoft.com/office/drawing/2014/main" id="{00000000-0008-0000-01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20</xdr:col>
      <xdr:colOff>9526</xdr:colOff>
      <xdr:row>45</xdr:row>
      <xdr:rowOff>57148</xdr:rowOff>
    </xdr:from>
    <xdr:to>
      <xdr:col>24</xdr:col>
      <xdr:colOff>1</xdr:colOff>
      <xdr:row>46</xdr:row>
      <xdr:rowOff>161924</xdr:rowOff>
    </xdr:to>
    <xdr:sp macro="" textlink="">
      <xdr:nvSpPr>
        <xdr:cNvPr id="26" name="Gebogen pijl 25"/>
        <xdr:cNvSpPr/>
      </xdr:nvSpPr>
      <xdr:spPr>
        <a:xfrm rot="16200000">
          <a:off x="6681788" y="8243886"/>
          <a:ext cx="295276" cy="7048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8</xdr:row>
          <xdr:rowOff>0</xdr:rowOff>
        </xdr:from>
        <xdr:to>
          <xdr:col>18</xdr:col>
          <xdr:colOff>142875</xdr:colOff>
          <xdr:row>9</xdr:row>
          <xdr:rowOff>9525</xdr:rowOff>
        </xdr:to>
        <xdr:sp macro="" textlink="">
          <xdr:nvSpPr>
            <xdr:cNvPr id="6145" name="Drop Down 1" hidden="1">
              <a:extLst>
                <a:ext uri="{63B3BB69-23CF-44E3-9099-C40C66FF867C}">
                  <a14:compatExt spid="_x0000_s6145"/>
                </a:ext>
                <a:ext uri="{FF2B5EF4-FFF2-40B4-BE49-F238E27FC236}">
                  <a16:creationId xmlns=""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17</xdr:row>
          <xdr:rowOff>0</xdr:rowOff>
        </xdr:from>
        <xdr:to>
          <xdr:col>17</xdr:col>
          <xdr:colOff>228600</xdr:colOff>
          <xdr:row>17</xdr:row>
          <xdr:rowOff>180975</xdr:rowOff>
        </xdr:to>
        <xdr:sp macro="" textlink="">
          <xdr:nvSpPr>
            <xdr:cNvPr id="6147" name="Check Box 3" hidden="1">
              <a:extLst>
                <a:ext uri="{63B3BB69-23CF-44E3-9099-C40C66FF867C}">
                  <a14:compatExt spid="_x0000_s6147"/>
                </a:ext>
                <a:ext uri="{FF2B5EF4-FFF2-40B4-BE49-F238E27FC236}">
                  <a16:creationId xmlns=""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Elektronische inschrijving toegestaan?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18</xdr:row>
          <xdr:rowOff>0</xdr:rowOff>
        </xdr:from>
        <xdr:to>
          <xdr:col>17</xdr:col>
          <xdr:colOff>228600</xdr:colOff>
          <xdr:row>19</xdr:row>
          <xdr:rowOff>0</xdr:rowOff>
        </xdr:to>
        <xdr:sp macro="" textlink="">
          <xdr:nvSpPr>
            <xdr:cNvPr id="6148" name="Check Box 4" hidden="1">
              <a:extLst>
                <a:ext uri="{63B3BB69-23CF-44E3-9099-C40C66FF867C}">
                  <a14:compatExt spid="_x0000_s6148"/>
                </a:ext>
                <a:ext uri="{FF2B5EF4-FFF2-40B4-BE49-F238E27FC236}">
                  <a16:creationId xmlns=""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Schouw of aanwijzing opnemen?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xdr:row>
          <xdr:rowOff>0</xdr:rowOff>
        </xdr:from>
        <xdr:to>
          <xdr:col>22</xdr:col>
          <xdr:colOff>104775</xdr:colOff>
          <xdr:row>17</xdr:row>
          <xdr:rowOff>0</xdr:rowOff>
        </xdr:to>
        <xdr:sp macro="" textlink="">
          <xdr:nvSpPr>
            <xdr:cNvPr id="6150" name="Check Box 6" hidden="1">
              <a:extLst>
                <a:ext uri="{63B3BB69-23CF-44E3-9099-C40C66FF867C}">
                  <a14:compatExt spid="_x0000_s6150"/>
                </a:ext>
                <a:ext uri="{FF2B5EF4-FFF2-40B4-BE49-F238E27FC236}">
                  <a16:creationId xmlns=""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Aanbestedingsstukken digitaal beschikbaar?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32</xdr:row>
          <xdr:rowOff>0</xdr:rowOff>
        </xdr:from>
        <xdr:to>
          <xdr:col>23</xdr:col>
          <xdr:colOff>114300</xdr:colOff>
          <xdr:row>32</xdr:row>
          <xdr:rowOff>171450</xdr:rowOff>
        </xdr:to>
        <xdr:sp macro="" textlink="">
          <xdr:nvSpPr>
            <xdr:cNvPr id="6151" name="Spinner 7" hidden="1">
              <a:extLst>
                <a:ext uri="{63B3BB69-23CF-44E3-9099-C40C66FF867C}">
                  <a14:compatExt spid="_x0000_s6151"/>
                </a:ext>
                <a:ext uri="{FF2B5EF4-FFF2-40B4-BE49-F238E27FC236}">
                  <a16:creationId xmlns="" xmlns:a16="http://schemas.microsoft.com/office/drawing/2014/main" id="{00000000-0008-0000-0200-000007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33</xdr:row>
          <xdr:rowOff>0</xdr:rowOff>
        </xdr:from>
        <xdr:to>
          <xdr:col>23</xdr:col>
          <xdr:colOff>114300</xdr:colOff>
          <xdr:row>33</xdr:row>
          <xdr:rowOff>171450</xdr:rowOff>
        </xdr:to>
        <xdr:sp macro="" textlink="">
          <xdr:nvSpPr>
            <xdr:cNvPr id="6152" name="Spinner 8" hidden="1">
              <a:extLst>
                <a:ext uri="{63B3BB69-23CF-44E3-9099-C40C66FF867C}">
                  <a14:compatExt spid="_x0000_s6152"/>
                </a:ext>
                <a:ext uri="{FF2B5EF4-FFF2-40B4-BE49-F238E27FC236}">
                  <a16:creationId xmlns="" xmlns:a16="http://schemas.microsoft.com/office/drawing/2014/main" id="{00000000-0008-0000-0200-000008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28</xdr:row>
          <xdr:rowOff>9525</xdr:rowOff>
        </xdr:from>
        <xdr:to>
          <xdr:col>23</xdr:col>
          <xdr:colOff>114300</xdr:colOff>
          <xdr:row>28</xdr:row>
          <xdr:rowOff>180975</xdr:rowOff>
        </xdr:to>
        <xdr:sp macro="" textlink="">
          <xdr:nvSpPr>
            <xdr:cNvPr id="6153" name="Spinner 9" hidden="1">
              <a:extLst>
                <a:ext uri="{63B3BB69-23CF-44E3-9099-C40C66FF867C}">
                  <a14:compatExt spid="_x0000_s6153"/>
                </a:ext>
                <a:ext uri="{FF2B5EF4-FFF2-40B4-BE49-F238E27FC236}">
                  <a16:creationId xmlns="" xmlns:a16="http://schemas.microsoft.com/office/drawing/2014/main" id="{00000000-0008-0000-0200-000009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27</xdr:row>
          <xdr:rowOff>9525</xdr:rowOff>
        </xdr:from>
        <xdr:to>
          <xdr:col>23</xdr:col>
          <xdr:colOff>114300</xdr:colOff>
          <xdr:row>27</xdr:row>
          <xdr:rowOff>180975</xdr:rowOff>
        </xdr:to>
        <xdr:sp macro="" textlink="">
          <xdr:nvSpPr>
            <xdr:cNvPr id="6154" name="Spinner 10" hidden="1">
              <a:extLst>
                <a:ext uri="{63B3BB69-23CF-44E3-9099-C40C66FF867C}">
                  <a14:compatExt spid="_x0000_s6154"/>
                </a:ext>
                <a:ext uri="{FF2B5EF4-FFF2-40B4-BE49-F238E27FC236}">
                  <a16:creationId xmlns="" xmlns:a16="http://schemas.microsoft.com/office/drawing/2014/main" id="{00000000-0008-0000-0200-00000A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29</xdr:row>
          <xdr:rowOff>9525</xdr:rowOff>
        </xdr:from>
        <xdr:to>
          <xdr:col>23</xdr:col>
          <xdr:colOff>114300</xdr:colOff>
          <xdr:row>29</xdr:row>
          <xdr:rowOff>180975</xdr:rowOff>
        </xdr:to>
        <xdr:sp macro="" textlink="">
          <xdr:nvSpPr>
            <xdr:cNvPr id="6155" name="Spinner 11" hidden="1">
              <a:extLst>
                <a:ext uri="{63B3BB69-23CF-44E3-9099-C40C66FF867C}">
                  <a14:compatExt spid="_x0000_s6155"/>
                </a:ext>
                <a:ext uri="{FF2B5EF4-FFF2-40B4-BE49-F238E27FC236}">
                  <a16:creationId xmlns="" xmlns:a16="http://schemas.microsoft.com/office/drawing/2014/main" id="{00000000-0008-0000-0200-00000B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34</xdr:row>
          <xdr:rowOff>0</xdr:rowOff>
        </xdr:from>
        <xdr:to>
          <xdr:col>23</xdr:col>
          <xdr:colOff>114300</xdr:colOff>
          <xdr:row>34</xdr:row>
          <xdr:rowOff>171450</xdr:rowOff>
        </xdr:to>
        <xdr:sp macro="" textlink="">
          <xdr:nvSpPr>
            <xdr:cNvPr id="6156" name="Spinner 12" hidden="1">
              <a:extLst>
                <a:ext uri="{63B3BB69-23CF-44E3-9099-C40C66FF867C}">
                  <a14:compatExt spid="_x0000_s6156"/>
                </a:ext>
                <a:ext uri="{FF2B5EF4-FFF2-40B4-BE49-F238E27FC236}">
                  <a16:creationId xmlns="" xmlns:a16="http://schemas.microsoft.com/office/drawing/2014/main" id="{00000000-0008-0000-0200-00000C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35</xdr:row>
          <xdr:rowOff>0</xdr:rowOff>
        </xdr:from>
        <xdr:to>
          <xdr:col>23</xdr:col>
          <xdr:colOff>114300</xdr:colOff>
          <xdr:row>35</xdr:row>
          <xdr:rowOff>171450</xdr:rowOff>
        </xdr:to>
        <xdr:sp macro="" textlink="">
          <xdr:nvSpPr>
            <xdr:cNvPr id="6157" name="Spinner 13" hidden="1">
              <a:extLst>
                <a:ext uri="{63B3BB69-23CF-44E3-9099-C40C66FF867C}">
                  <a14:compatExt spid="_x0000_s6157"/>
                </a:ext>
                <a:ext uri="{FF2B5EF4-FFF2-40B4-BE49-F238E27FC236}">
                  <a16:creationId xmlns="" xmlns:a16="http://schemas.microsoft.com/office/drawing/2014/main" id="{00000000-0008-0000-0200-00000D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36</xdr:row>
          <xdr:rowOff>0</xdr:rowOff>
        </xdr:from>
        <xdr:to>
          <xdr:col>23</xdr:col>
          <xdr:colOff>114300</xdr:colOff>
          <xdr:row>36</xdr:row>
          <xdr:rowOff>171450</xdr:rowOff>
        </xdr:to>
        <xdr:sp macro="" textlink="">
          <xdr:nvSpPr>
            <xdr:cNvPr id="6158" name="Spinner 14" hidden="1">
              <a:extLst>
                <a:ext uri="{63B3BB69-23CF-44E3-9099-C40C66FF867C}">
                  <a14:compatExt spid="_x0000_s6158"/>
                </a:ext>
                <a:ext uri="{FF2B5EF4-FFF2-40B4-BE49-F238E27FC236}">
                  <a16:creationId xmlns="" xmlns:a16="http://schemas.microsoft.com/office/drawing/2014/main" id="{00000000-0008-0000-0200-00000E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37</xdr:row>
          <xdr:rowOff>0</xdr:rowOff>
        </xdr:from>
        <xdr:to>
          <xdr:col>23</xdr:col>
          <xdr:colOff>114300</xdr:colOff>
          <xdr:row>37</xdr:row>
          <xdr:rowOff>171450</xdr:rowOff>
        </xdr:to>
        <xdr:sp macro="" textlink="">
          <xdr:nvSpPr>
            <xdr:cNvPr id="6160" name="Spinner 16" hidden="1">
              <a:extLst>
                <a:ext uri="{63B3BB69-23CF-44E3-9099-C40C66FF867C}">
                  <a14:compatExt spid="_x0000_s6160"/>
                </a:ext>
                <a:ext uri="{FF2B5EF4-FFF2-40B4-BE49-F238E27FC236}">
                  <a16:creationId xmlns="" xmlns:a16="http://schemas.microsoft.com/office/drawing/2014/main" id="{00000000-0008-0000-0200-000010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19</xdr:row>
          <xdr:rowOff>0</xdr:rowOff>
        </xdr:from>
        <xdr:to>
          <xdr:col>22</xdr:col>
          <xdr:colOff>66675</xdr:colOff>
          <xdr:row>19</xdr:row>
          <xdr:rowOff>190500</xdr:rowOff>
        </xdr:to>
        <xdr:sp macro="" textlink="">
          <xdr:nvSpPr>
            <xdr:cNvPr id="6161" name="Check Box 17" hidden="1">
              <a:extLst>
                <a:ext uri="{63B3BB69-23CF-44E3-9099-C40C66FF867C}">
                  <a14:compatExt spid="_x0000_s6161"/>
                </a:ext>
                <a:ext uri="{FF2B5EF4-FFF2-40B4-BE49-F238E27FC236}">
                  <a16:creationId xmlns=""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Is schouw/aanwijzing van belang voor goede inschrijving?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39</xdr:row>
          <xdr:rowOff>0</xdr:rowOff>
        </xdr:from>
        <xdr:to>
          <xdr:col>23</xdr:col>
          <xdr:colOff>114300</xdr:colOff>
          <xdr:row>39</xdr:row>
          <xdr:rowOff>171450</xdr:rowOff>
        </xdr:to>
        <xdr:sp macro="" textlink="">
          <xdr:nvSpPr>
            <xdr:cNvPr id="6162" name="Spinner 18" hidden="1">
              <a:extLst>
                <a:ext uri="{63B3BB69-23CF-44E3-9099-C40C66FF867C}">
                  <a14:compatExt spid="_x0000_s6162"/>
                </a:ext>
                <a:ext uri="{FF2B5EF4-FFF2-40B4-BE49-F238E27FC236}">
                  <a16:creationId xmlns="" xmlns:a16="http://schemas.microsoft.com/office/drawing/2014/main" id="{00000000-0008-0000-0200-000012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40</xdr:row>
          <xdr:rowOff>0</xdr:rowOff>
        </xdr:from>
        <xdr:to>
          <xdr:col>23</xdr:col>
          <xdr:colOff>114300</xdr:colOff>
          <xdr:row>40</xdr:row>
          <xdr:rowOff>171450</xdr:rowOff>
        </xdr:to>
        <xdr:sp macro="" textlink="">
          <xdr:nvSpPr>
            <xdr:cNvPr id="6163" name="Spinner 19" hidden="1">
              <a:extLst>
                <a:ext uri="{63B3BB69-23CF-44E3-9099-C40C66FF867C}">
                  <a14:compatExt spid="_x0000_s6163"/>
                </a:ext>
                <a:ext uri="{FF2B5EF4-FFF2-40B4-BE49-F238E27FC236}">
                  <a16:creationId xmlns="" xmlns:a16="http://schemas.microsoft.com/office/drawing/2014/main" id="{00000000-0008-0000-0200-000013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42</xdr:row>
          <xdr:rowOff>0</xdr:rowOff>
        </xdr:from>
        <xdr:to>
          <xdr:col>23</xdr:col>
          <xdr:colOff>114300</xdr:colOff>
          <xdr:row>42</xdr:row>
          <xdr:rowOff>171450</xdr:rowOff>
        </xdr:to>
        <xdr:sp macro="" textlink="">
          <xdr:nvSpPr>
            <xdr:cNvPr id="6164" name="Spinner 20" hidden="1">
              <a:extLst>
                <a:ext uri="{63B3BB69-23CF-44E3-9099-C40C66FF867C}">
                  <a14:compatExt spid="_x0000_s6164"/>
                </a:ext>
                <a:ext uri="{FF2B5EF4-FFF2-40B4-BE49-F238E27FC236}">
                  <a16:creationId xmlns="" xmlns:a16="http://schemas.microsoft.com/office/drawing/2014/main" id="{00000000-0008-0000-0200-000014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26</xdr:row>
          <xdr:rowOff>0</xdr:rowOff>
        </xdr:from>
        <xdr:to>
          <xdr:col>23</xdr:col>
          <xdr:colOff>114300</xdr:colOff>
          <xdr:row>26</xdr:row>
          <xdr:rowOff>171450</xdr:rowOff>
        </xdr:to>
        <xdr:sp macro="" textlink="">
          <xdr:nvSpPr>
            <xdr:cNvPr id="6165" name="Spinner 21" hidden="1">
              <a:extLst>
                <a:ext uri="{63B3BB69-23CF-44E3-9099-C40C66FF867C}">
                  <a14:compatExt spid="_x0000_s6165"/>
                </a:ext>
                <a:ext uri="{FF2B5EF4-FFF2-40B4-BE49-F238E27FC236}">
                  <a16:creationId xmlns="" xmlns:a16="http://schemas.microsoft.com/office/drawing/2014/main" id="{00000000-0008-0000-0200-000015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0</xdr:rowOff>
        </xdr:from>
        <xdr:to>
          <xdr:col>22</xdr:col>
          <xdr:colOff>104775</xdr:colOff>
          <xdr:row>15</xdr:row>
          <xdr:rowOff>0</xdr:rowOff>
        </xdr:to>
        <xdr:sp macro="" textlink="">
          <xdr:nvSpPr>
            <xdr:cNvPr id="6166" name="Check Box 22" hidden="1">
              <a:extLst>
                <a:ext uri="{63B3BB69-23CF-44E3-9099-C40C66FF867C}">
                  <a14:compatExt spid="_x0000_s6166"/>
                </a:ext>
                <a:ext uri="{FF2B5EF4-FFF2-40B4-BE49-F238E27FC236}">
                  <a16:creationId xmlns=""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 Is sprake van een onderbouwde urgente situatie?</a:t>
              </a:r>
            </a:p>
          </xdr:txBody>
        </xdr:sp>
        <xdr:clientData/>
      </xdr:twoCellAnchor>
    </mc:Choice>
    <mc:Fallback/>
  </mc:AlternateContent>
  <xdr:twoCellAnchor>
    <xdr:from>
      <xdr:col>22</xdr:col>
      <xdr:colOff>61751</xdr:colOff>
      <xdr:row>24</xdr:row>
      <xdr:rowOff>91056</xdr:rowOff>
    </xdr:from>
    <xdr:to>
      <xdr:col>24</xdr:col>
      <xdr:colOff>0</xdr:colOff>
      <xdr:row>25</xdr:row>
      <xdr:rowOff>165308</xdr:rowOff>
    </xdr:to>
    <xdr:sp macro="" textlink="">
      <xdr:nvSpPr>
        <xdr:cNvPr id="24" name="Gebogen pijl 23">
          <a:extLst>
            <a:ext uri="{FF2B5EF4-FFF2-40B4-BE49-F238E27FC236}">
              <a16:creationId xmlns="" xmlns:a16="http://schemas.microsoft.com/office/drawing/2014/main" id="{00000000-0008-0000-0200-000018000000}"/>
            </a:ext>
          </a:extLst>
        </xdr:cNvPr>
        <xdr:cNvSpPr/>
      </xdr:nvSpPr>
      <xdr:spPr>
        <a:xfrm rot="16200000" flipH="1">
          <a:off x="7666138" y="4535794"/>
          <a:ext cx="274277" cy="58595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9</xdr:row>
          <xdr:rowOff>171450</xdr:rowOff>
        </xdr:from>
        <xdr:to>
          <xdr:col>18</xdr:col>
          <xdr:colOff>133350</xdr:colOff>
          <xdr:row>10</xdr:row>
          <xdr:rowOff>171450</xdr:rowOff>
        </xdr:to>
        <xdr:sp macro="" textlink="">
          <xdr:nvSpPr>
            <xdr:cNvPr id="6167" name="DTPicker1" descr="kalenderinvoer" hidden="1">
              <a:extLst>
                <a:ext uri="{63B3BB69-23CF-44E3-9099-C40C66FF867C}">
                  <a14:compatExt spid="_x0000_s6167"/>
                </a:ext>
                <a:ext uri="{FF2B5EF4-FFF2-40B4-BE49-F238E27FC236}">
                  <a16:creationId xmlns="" xmlns:a16="http://schemas.microsoft.com/office/drawing/2014/main" id="{00000000-0008-0000-02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19</xdr:col>
      <xdr:colOff>276226</xdr:colOff>
      <xdr:row>43</xdr:row>
      <xdr:rowOff>114298</xdr:rowOff>
    </xdr:from>
    <xdr:to>
      <xdr:col>24</xdr:col>
      <xdr:colOff>1</xdr:colOff>
      <xdr:row>44</xdr:row>
      <xdr:rowOff>161924</xdr:rowOff>
    </xdr:to>
    <xdr:sp macro="" textlink="">
      <xdr:nvSpPr>
        <xdr:cNvPr id="23" name="Gebogen pijl 22"/>
        <xdr:cNvSpPr/>
      </xdr:nvSpPr>
      <xdr:spPr>
        <a:xfrm rot="16200000">
          <a:off x="7158038" y="7881936"/>
          <a:ext cx="238126" cy="7239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19050</xdr:colOff>
      <xdr:row>1</xdr:row>
      <xdr:rowOff>28575</xdr:rowOff>
    </xdr:from>
    <xdr:to>
      <xdr:col>16</xdr:col>
      <xdr:colOff>590550</xdr:colOff>
      <xdr:row>4</xdr:row>
      <xdr:rowOff>171450</xdr:rowOff>
    </xdr:to>
    <xdr:pic>
      <xdr:nvPicPr>
        <xdr:cNvPr id="2" name="Afbeelding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3850" y="419100"/>
          <a:ext cx="2400300" cy="7429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omments" Target="../comments1.xml"/><Relationship Id="rId5" Type="http://schemas.openxmlformats.org/officeDocument/2006/relationships/image" Target="../media/image2.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control" Target="../activeX/activeX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5" Type="http://schemas.openxmlformats.org/officeDocument/2006/relationships/image" Target="../media/image3.emf"/><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omments" Target="../comments2.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ontrol" Target="../activeX/activeX2.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3.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5" Type="http://schemas.openxmlformats.org/officeDocument/2006/relationships/image" Target="../media/image4.emf"/><Relationship Id="rId15" Type="http://schemas.openxmlformats.org/officeDocument/2006/relationships/ctrlProp" Target="../ctrlProps/ctrlProp63.xml"/><Relationship Id="rId23" Type="http://schemas.openxmlformats.org/officeDocument/2006/relationships/ctrlProp" Target="../ctrlProps/ctrlProp71.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ontrol" Target="../activeX/activeX3.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showGridLines="0" showRowColHeaders="0" workbookViewId="0">
      <selection activeCell="B49" sqref="B49"/>
    </sheetView>
  </sheetViews>
  <sheetFormatPr defaultRowHeight="15" x14ac:dyDescent="0.25"/>
  <cols>
    <col min="1" max="1" width="1.7109375" customWidth="1"/>
    <col min="2" max="2" width="2.28515625" customWidth="1"/>
    <col min="9" max="9" width="9.85546875" customWidth="1"/>
    <col min="11" max="11" width="5.5703125" customWidth="1"/>
    <col min="19" max="19" width="2.140625" customWidth="1"/>
  </cols>
  <sheetData>
    <row r="1" spans="2:18" ht="8.25" customHeight="1" thickBot="1" x14ac:dyDescent="0.3"/>
    <row r="2" spans="2:18" ht="21" thickBot="1" x14ac:dyDescent="0.35">
      <c r="B2" s="98" t="s">
        <v>98</v>
      </c>
      <c r="C2" s="99"/>
      <c r="D2" s="99"/>
      <c r="E2" s="99"/>
      <c r="F2" s="99"/>
      <c r="G2" s="99"/>
      <c r="H2" s="99"/>
      <c r="I2" s="99"/>
      <c r="J2" s="99"/>
      <c r="K2" s="99"/>
      <c r="L2" s="99"/>
      <c r="M2" s="99"/>
      <c r="N2" s="99"/>
      <c r="O2" s="99"/>
      <c r="P2" s="99"/>
      <c r="Q2" s="99"/>
      <c r="R2" s="100"/>
    </row>
    <row r="3" spans="2:18" ht="11.25" customHeight="1" thickBot="1" x14ac:dyDescent="0.3">
      <c r="B3" s="101"/>
      <c r="C3" s="102"/>
      <c r="D3" s="102"/>
      <c r="E3" s="102"/>
      <c r="F3" s="102"/>
      <c r="G3" s="102"/>
      <c r="H3" s="102"/>
      <c r="I3" s="102"/>
      <c r="J3" s="102"/>
      <c r="K3" s="102"/>
      <c r="L3" s="102"/>
      <c r="M3" s="102"/>
      <c r="N3" s="102"/>
      <c r="O3" s="102"/>
      <c r="P3" s="102"/>
      <c r="Q3" s="102"/>
      <c r="R3" s="102"/>
    </row>
    <row r="4" spans="2:18" x14ac:dyDescent="0.25">
      <c r="B4" s="88" t="s">
        <v>86</v>
      </c>
      <c r="C4" s="89"/>
      <c r="D4" s="89"/>
      <c r="E4" s="89"/>
      <c r="F4" s="89"/>
      <c r="G4" s="89"/>
      <c r="H4" s="89"/>
      <c r="I4" s="89"/>
      <c r="J4" s="89"/>
      <c r="K4" s="89"/>
      <c r="L4" s="89"/>
      <c r="M4" s="89"/>
      <c r="N4" s="89"/>
      <c r="O4" s="89"/>
      <c r="P4" s="89"/>
      <c r="Q4" s="89"/>
      <c r="R4" s="90"/>
    </row>
    <row r="5" spans="2:18" ht="7.5" customHeight="1" x14ac:dyDescent="0.25">
      <c r="B5" s="91"/>
      <c r="C5" s="92"/>
      <c r="D5" s="92"/>
      <c r="E5" s="92"/>
      <c r="F5" s="92"/>
      <c r="G5" s="92"/>
      <c r="H5" s="92"/>
      <c r="I5" s="92"/>
      <c r="J5" s="92"/>
      <c r="K5" s="92"/>
      <c r="L5" s="92"/>
      <c r="M5" s="92"/>
      <c r="N5" s="92"/>
      <c r="O5" s="92"/>
      <c r="P5" s="92"/>
      <c r="Q5" s="92"/>
      <c r="R5" s="93"/>
    </row>
    <row r="6" spans="2:18" x14ac:dyDescent="0.25">
      <c r="B6" s="103" t="s">
        <v>101</v>
      </c>
      <c r="C6" s="92"/>
      <c r="D6" s="92"/>
      <c r="E6" s="92"/>
      <c r="F6" s="92"/>
      <c r="G6" s="92"/>
      <c r="H6" s="92"/>
      <c r="I6" s="92"/>
      <c r="J6" s="92"/>
      <c r="K6" s="92"/>
      <c r="L6" s="92"/>
      <c r="M6" s="92"/>
      <c r="N6" s="92"/>
      <c r="O6" s="92"/>
      <c r="P6" s="92"/>
      <c r="Q6" s="92"/>
      <c r="R6" s="93"/>
    </row>
    <row r="7" spans="2:18" x14ac:dyDescent="0.25">
      <c r="B7" s="97" t="s">
        <v>99</v>
      </c>
      <c r="C7" s="92"/>
      <c r="D7" s="92"/>
      <c r="E7" s="92"/>
      <c r="F7" s="92"/>
      <c r="G7" s="92"/>
      <c r="H7" s="92"/>
      <c r="I7" s="92"/>
      <c r="J7" s="92"/>
      <c r="K7" s="92"/>
      <c r="L7" s="92"/>
      <c r="M7" s="92"/>
      <c r="N7" s="92"/>
      <c r="O7" s="92"/>
      <c r="P7" s="92"/>
      <c r="Q7" s="92"/>
      <c r="R7" s="93"/>
    </row>
    <row r="8" spans="2:18" ht="8.25" customHeight="1" x14ac:dyDescent="0.25">
      <c r="B8" s="91"/>
      <c r="C8" s="92"/>
      <c r="D8" s="92"/>
      <c r="E8" s="92"/>
      <c r="F8" s="92"/>
      <c r="G8" s="92"/>
      <c r="H8" s="92"/>
      <c r="I8" s="92"/>
      <c r="J8" s="92"/>
      <c r="K8" s="92"/>
      <c r="L8" s="92"/>
      <c r="M8" s="92"/>
      <c r="N8" s="92"/>
      <c r="O8" s="92"/>
      <c r="P8" s="92"/>
      <c r="Q8" s="92"/>
      <c r="R8" s="93"/>
    </row>
    <row r="9" spans="2:18" x14ac:dyDescent="0.25">
      <c r="B9" s="122" t="s">
        <v>111</v>
      </c>
      <c r="C9" s="92"/>
      <c r="D9" s="92"/>
      <c r="E9" s="92"/>
      <c r="F9" s="92"/>
      <c r="G9" s="92"/>
      <c r="H9" s="92"/>
      <c r="I9" s="92"/>
      <c r="J9" s="92"/>
      <c r="K9" s="92"/>
      <c r="L9" s="92"/>
      <c r="M9" s="92"/>
      <c r="N9" s="92"/>
      <c r="O9" s="92"/>
      <c r="P9" s="92"/>
      <c r="Q9" s="92"/>
      <c r="R9" s="93"/>
    </row>
    <row r="10" spans="2:18" x14ac:dyDescent="0.25">
      <c r="B10" s="103" t="s">
        <v>112</v>
      </c>
      <c r="C10" s="92"/>
      <c r="D10" s="92"/>
      <c r="E10" s="92"/>
      <c r="F10" s="92"/>
      <c r="G10" s="92"/>
      <c r="H10" s="92"/>
      <c r="I10" s="92"/>
      <c r="J10" s="92"/>
      <c r="K10" s="92"/>
      <c r="L10" s="92"/>
      <c r="M10" s="92"/>
      <c r="N10" s="92"/>
      <c r="O10" s="92"/>
      <c r="P10" s="92"/>
      <c r="Q10" s="92"/>
      <c r="R10" s="93"/>
    </row>
    <row r="11" spans="2:18" x14ac:dyDescent="0.25">
      <c r="B11" s="97" t="s">
        <v>100</v>
      </c>
      <c r="C11" s="92"/>
      <c r="D11" s="92"/>
      <c r="E11" s="92"/>
      <c r="F11" s="92"/>
      <c r="G11" s="92"/>
      <c r="H11" s="92"/>
      <c r="I11" s="92"/>
      <c r="J11" s="92"/>
      <c r="K11" s="92"/>
      <c r="L11" s="92"/>
      <c r="M11" s="92"/>
      <c r="N11" s="92"/>
      <c r="O11" s="92"/>
      <c r="P11" s="92"/>
      <c r="Q11" s="92"/>
      <c r="R11" s="93"/>
    </row>
    <row r="12" spans="2:18" x14ac:dyDescent="0.25">
      <c r="B12" s="97" t="s">
        <v>102</v>
      </c>
      <c r="C12" s="92"/>
      <c r="D12" s="92"/>
      <c r="E12" s="92"/>
      <c r="F12" s="92"/>
      <c r="G12" s="92"/>
      <c r="H12" s="92"/>
      <c r="I12" s="92"/>
      <c r="J12" s="92"/>
      <c r="K12" s="92"/>
      <c r="L12" s="92"/>
      <c r="M12" s="92"/>
      <c r="N12" s="92"/>
      <c r="O12" s="92"/>
      <c r="P12" s="92"/>
      <c r="Q12" s="92"/>
      <c r="R12" s="93"/>
    </row>
    <row r="13" spans="2:18" ht="7.5" customHeight="1" x14ac:dyDescent="0.25">
      <c r="B13" s="97"/>
      <c r="C13" s="92"/>
      <c r="D13" s="92"/>
      <c r="E13" s="92"/>
      <c r="F13" s="92"/>
      <c r="G13" s="92"/>
      <c r="H13" s="92"/>
      <c r="I13" s="92"/>
      <c r="J13" s="92"/>
      <c r="K13" s="92"/>
      <c r="L13" s="92"/>
      <c r="M13" s="92"/>
      <c r="N13" s="92"/>
      <c r="O13" s="92"/>
      <c r="P13" s="92"/>
      <c r="Q13" s="92"/>
      <c r="R13" s="93"/>
    </row>
    <row r="14" spans="2:18" x14ac:dyDescent="0.25">
      <c r="B14" s="103" t="s">
        <v>113</v>
      </c>
      <c r="C14" s="92"/>
      <c r="D14" s="92"/>
      <c r="E14" s="92"/>
      <c r="F14" s="92"/>
      <c r="G14" s="92"/>
      <c r="H14" s="92"/>
      <c r="I14" s="92"/>
      <c r="J14" s="92"/>
      <c r="K14" s="92"/>
      <c r="L14" s="92"/>
      <c r="M14" s="92"/>
      <c r="N14" s="92"/>
      <c r="O14" s="92"/>
      <c r="P14" s="92"/>
      <c r="Q14" s="92"/>
      <c r="R14" s="93"/>
    </row>
    <row r="15" spans="2:18" x14ac:dyDescent="0.25">
      <c r="B15" s="97" t="s">
        <v>103</v>
      </c>
      <c r="C15" s="92"/>
      <c r="D15" s="92"/>
      <c r="E15" s="92"/>
      <c r="F15" s="92"/>
      <c r="G15" s="92"/>
      <c r="H15" s="92"/>
      <c r="I15" s="92"/>
      <c r="J15" s="92"/>
      <c r="K15" s="92"/>
      <c r="L15" s="92"/>
      <c r="M15" s="92"/>
      <c r="N15" s="92"/>
      <c r="O15" s="92"/>
      <c r="P15" s="92"/>
      <c r="Q15" s="92"/>
      <c r="R15" s="93"/>
    </row>
    <row r="16" spans="2:18" x14ac:dyDescent="0.25">
      <c r="B16" s="91" t="s">
        <v>104</v>
      </c>
      <c r="C16" s="92"/>
      <c r="D16" s="92"/>
      <c r="E16" s="92"/>
      <c r="F16" s="92"/>
      <c r="G16" s="92"/>
      <c r="H16" s="92"/>
      <c r="I16" s="92"/>
      <c r="J16" s="92"/>
      <c r="K16" s="92"/>
      <c r="L16" s="92"/>
      <c r="M16" s="92"/>
      <c r="N16" s="92"/>
      <c r="O16" s="92"/>
      <c r="P16" s="92"/>
      <c r="Q16" s="92"/>
      <c r="R16" s="93"/>
    </row>
    <row r="17" spans="2:18" ht="7.5" customHeight="1" x14ac:dyDescent="0.25">
      <c r="B17" s="97"/>
      <c r="C17" s="92"/>
      <c r="D17" s="92"/>
      <c r="E17" s="92"/>
      <c r="F17" s="92"/>
      <c r="G17" s="92"/>
      <c r="H17" s="92"/>
      <c r="I17" s="92"/>
      <c r="J17" s="92"/>
      <c r="K17" s="92"/>
      <c r="L17" s="92"/>
      <c r="M17" s="92"/>
      <c r="N17" s="92"/>
      <c r="O17" s="92"/>
      <c r="P17" s="92"/>
      <c r="Q17" s="92"/>
      <c r="R17" s="93"/>
    </row>
    <row r="18" spans="2:18" x14ac:dyDescent="0.25">
      <c r="B18" s="103" t="s">
        <v>114</v>
      </c>
      <c r="C18" s="92"/>
      <c r="D18" s="92"/>
      <c r="E18" s="92"/>
      <c r="F18" s="92"/>
      <c r="G18" s="92"/>
      <c r="H18" s="92"/>
      <c r="I18" s="92"/>
      <c r="J18" s="92"/>
      <c r="K18" s="92"/>
      <c r="L18" s="92"/>
      <c r="M18" s="92"/>
      <c r="N18" s="92"/>
      <c r="O18" s="92"/>
      <c r="P18" s="92"/>
      <c r="Q18" s="92"/>
      <c r="R18" s="93"/>
    </row>
    <row r="19" spans="2:18" x14ac:dyDescent="0.25">
      <c r="B19" s="97" t="s">
        <v>107</v>
      </c>
      <c r="C19" s="92"/>
      <c r="D19" s="92"/>
      <c r="E19" s="92"/>
      <c r="F19" s="92"/>
      <c r="G19" s="92"/>
      <c r="H19" s="92"/>
      <c r="I19" s="92"/>
      <c r="J19" s="92"/>
      <c r="K19" s="92"/>
      <c r="L19" s="92"/>
      <c r="M19" s="92"/>
      <c r="N19" s="92"/>
      <c r="O19" s="92"/>
      <c r="P19" s="92"/>
      <c r="Q19" s="92"/>
      <c r="R19" s="93"/>
    </row>
    <row r="20" spans="2:18" x14ac:dyDescent="0.25">
      <c r="B20" s="97"/>
      <c r="C20" s="92"/>
      <c r="D20" s="92"/>
      <c r="E20" s="92"/>
      <c r="F20" s="92"/>
      <c r="G20" s="92"/>
      <c r="H20" s="92"/>
      <c r="I20" s="92"/>
      <c r="J20" s="92"/>
      <c r="K20" s="92"/>
      <c r="L20" s="92"/>
      <c r="M20" s="92"/>
      <c r="N20" s="92"/>
      <c r="O20" s="92"/>
      <c r="P20" s="92"/>
      <c r="Q20" s="92"/>
      <c r="R20" s="93"/>
    </row>
    <row r="21" spans="2:18" x14ac:dyDescent="0.25">
      <c r="B21" s="122" t="s">
        <v>115</v>
      </c>
      <c r="C21" s="92"/>
      <c r="D21" s="92"/>
      <c r="E21" s="92"/>
      <c r="F21" s="92"/>
      <c r="G21" s="92"/>
      <c r="H21" s="92"/>
      <c r="I21" s="92"/>
      <c r="J21" s="92"/>
      <c r="K21" s="92"/>
      <c r="L21" s="92"/>
      <c r="M21" s="92"/>
      <c r="N21" s="92"/>
      <c r="O21" s="92"/>
      <c r="P21" s="92"/>
      <c r="Q21" s="92"/>
      <c r="R21" s="93"/>
    </row>
    <row r="22" spans="2:18" x14ac:dyDescent="0.25">
      <c r="B22" s="97" t="s">
        <v>151</v>
      </c>
      <c r="C22" s="92"/>
      <c r="D22" s="92"/>
      <c r="E22" s="92"/>
      <c r="F22" s="92"/>
      <c r="G22" s="92"/>
      <c r="H22" s="92"/>
      <c r="I22" s="92"/>
      <c r="J22" s="92"/>
      <c r="K22" s="92"/>
      <c r="L22" s="92"/>
      <c r="M22" s="92"/>
      <c r="N22" s="92"/>
      <c r="O22" s="92"/>
      <c r="P22" s="92"/>
      <c r="Q22" s="92"/>
      <c r="R22" s="93"/>
    </row>
    <row r="23" spans="2:18" x14ac:dyDescent="0.25">
      <c r="B23" s="97" t="s">
        <v>110</v>
      </c>
      <c r="C23" s="92"/>
      <c r="D23" s="92"/>
      <c r="E23" s="92"/>
      <c r="F23" s="92"/>
      <c r="G23" s="92"/>
      <c r="H23" s="92"/>
      <c r="I23" s="92"/>
      <c r="J23" s="92"/>
      <c r="K23" s="92"/>
      <c r="L23" s="92"/>
      <c r="M23" s="92"/>
      <c r="N23" s="92"/>
      <c r="O23" s="92"/>
      <c r="P23" s="92"/>
      <c r="Q23" s="92"/>
      <c r="R23" s="93"/>
    </row>
    <row r="24" spans="2:18" x14ac:dyDescent="0.25">
      <c r="B24" s="97" t="s">
        <v>152</v>
      </c>
      <c r="C24" s="92"/>
      <c r="D24" s="92"/>
      <c r="E24" s="92"/>
      <c r="F24" s="92"/>
      <c r="G24" s="92"/>
      <c r="H24" s="92"/>
      <c r="I24" s="92"/>
      <c r="J24" s="92"/>
      <c r="K24" s="92"/>
      <c r="L24" s="92"/>
      <c r="M24" s="92"/>
      <c r="N24" s="92"/>
      <c r="O24" s="92"/>
      <c r="P24" s="92"/>
      <c r="Q24" s="92"/>
      <c r="R24" s="93"/>
    </row>
    <row r="25" spans="2:18" x14ac:dyDescent="0.25">
      <c r="B25" s="97"/>
      <c r="C25" s="92"/>
      <c r="D25" s="92"/>
      <c r="E25" s="92"/>
      <c r="F25" s="92"/>
      <c r="G25" s="92"/>
      <c r="H25" s="92"/>
      <c r="I25" s="92"/>
      <c r="J25" s="92"/>
      <c r="K25" s="92"/>
      <c r="L25" s="92"/>
      <c r="M25" s="92"/>
      <c r="N25" s="92"/>
      <c r="O25" s="92"/>
      <c r="P25" s="92"/>
      <c r="Q25" s="92"/>
      <c r="R25" s="93"/>
    </row>
    <row r="26" spans="2:18" x14ac:dyDescent="0.25">
      <c r="B26" s="122" t="s">
        <v>116</v>
      </c>
      <c r="C26" s="92"/>
      <c r="D26" s="92"/>
      <c r="E26" s="92"/>
      <c r="F26" s="92"/>
      <c r="G26" s="92"/>
      <c r="H26" s="92"/>
      <c r="I26" s="92"/>
      <c r="J26" s="92"/>
      <c r="K26" s="92"/>
      <c r="L26" s="92"/>
      <c r="M26" s="92"/>
      <c r="N26" s="92"/>
      <c r="O26" s="92"/>
      <c r="P26" s="92"/>
      <c r="Q26" s="92"/>
      <c r="R26" s="93"/>
    </row>
    <row r="27" spans="2:18" x14ac:dyDescent="0.25">
      <c r="B27" s="103" t="s">
        <v>148</v>
      </c>
      <c r="C27" s="92"/>
      <c r="D27" s="92"/>
      <c r="E27" s="92"/>
      <c r="F27" s="92"/>
      <c r="G27" s="92"/>
      <c r="H27" s="92"/>
      <c r="I27" s="92"/>
      <c r="J27" s="92"/>
      <c r="K27" s="92"/>
      <c r="L27" s="92"/>
      <c r="M27" s="92"/>
      <c r="N27" s="92"/>
      <c r="O27" s="92"/>
      <c r="P27" s="92"/>
      <c r="Q27" s="92"/>
      <c r="R27" s="93"/>
    </row>
    <row r="28" spans="2:18" x14ac:dyDescent="0.25">
      <c r="B28" s="97" t="s">
        <v>105</v>
      </c>
      <c r="C28" s="92"/>
      <c r="D28" s="92"/>
      <c r="E28" s="92"/>
      <c r="F28" s="92"/>
      <c r="G28" s="92"/>
      <c r="H28" s="92"/>
      <c r="I28" s="92"/>
      <c r="J28" s="92"/>
      <c r="K28" s="92"/>
      <c r="L28" s="92"/>
      <c r="M28" s="92"/>
      <c r="N28" s="92"/>
      <c r="O28" s="92"/>
      <c r="P28" s="92"/>
      <c r="Q28" s="92"/>
      <c r="R28" s="93"/>
    </row>
    <row r="29" spans="2:18" x14ac:dyDescent="0.25">
      <c r="B29" s="97" t="s">
        <v>106</v>
      </c>
      <c r="C29" s="92"/>
      <c r="D29" s="92"/>
      <c r="E29" s="92"/>
      <c r="F29" s="92"/>
      <c r="G29" s="92"/>
      <c r="H29" s="92"/>
      <c r="I29" s="92"/>
      <c r="J29" s="92"/>
      <c r="K29" s="92"/>
      <c r="L29" s="92"/>
      <c r="M29" s="92"/>
      <c r="N29" s="92"/>
      <c r="O29" s="92"/>
      <c r="P29" s="92"/>
      <c r="Q29" s="92"/>
      <c r="R29" s="93"/>
    </row>
    <row r="30" spans="2:18" ht="8.25" customHeight="1" x14ac:dyDescent="0.25">
      <c r="B30" s="91"/>
      <c r="C30" s="92"/>
      <c r="D30" s="92"/>
      <c r="E30" s="92"/>
      <c r="F30" s="92"/>
      <c r="G30" s="92"/>
      <c r="H30" s="92"/>
      <c r="I30" s="92"/>
      <c r="J30" s="92"/>
      <c r="K30" s="92"/>
      <c r="L30" s="92"/>
      <c r="M30" s="92"/>
      <c r="N30" s="92"/>
      <c r="O30" s="92"/>
      <c r="P30" s="92"/>
      <c r="Q30" s="92"/>
      <c r="R30" s="93"/>
    </row>
    <row r="31" spans="2:18" x14ac:dyDescent="0.25">
      <c r="B31" s="103" t="s">
        <v>149</v>
      </c>
      <c r="C31" s="92"/>
      <c r="D31" s="92"/>
      <c r="E31" s="92"/>
      <c r="F31" s="92"/>
      <c r="G31" s="92"/>
      <c r="H31" s="92"/>
      <c r="I31" s="92"/>
      <c r="J31" s="92"/>
      <c r="K31" s="92"/>
      <c r="L31" s="92"/>
      <c r="M31" s="92"/>
      <c r="N31" s="92"/>
      <c r="O31" s="92"/>
      <c r="P31" s="92"/>
      <c r="Q31" s="92"/>
      <c r="R31" s="93"/>
    </row>
    <row r="32" spans="2:18" x14ac:dyDescent="0.25">
      <c r="B32" s="91"/>
      <c r="C32" s="144" t="s">
        <v>150</v>
      </c>
      <c r="D32" s="92"/>
      <c r="E32" s="92"/>
      <c r="F32" s="92"/>
      <c r="G32" s="92"/>
      <c r="H32" s="92"/>
      <c r="I32" s="92"/>
      <c r="J32" s="92"/>
      <c r="K32" s="92"/>
      <c r="L32" s="92"/>
      <c r="M32" s="92"/>
      <c r="N32" s="92"/>
      <c r="O32" s="92"/>
      <c r="P32" s="92"/>
      <c r="Q32" s="92"/>
      <c r="R32" s="93"/>
    </row>
    <row r="33" spans="2:18" x14ac:dyDescent="0.25">
      <c r="B33" s="141"/>
      <c r="C33" s="145" t="s">
        <v>147</v>
      </c>
      <c r="D33" s="140"/>
      <c r="E33" s="140"/>
      <c r="F33" s="140"/>
      <c r="G33" s="140"/>
      <c r="H33" s="140"/>
      <c r="I33" s="140"/>
      <c r="J33" s="140"/>
      <c r="K33" s="140"/>
      <c r="L33" s="140"/>
      <c r="M33" s="140"/>
      <c r="N33" s="92"/>
      <c r="O33" s="92"/>
      <c r="P33" s="92"/>
      <c r="Q33" s="92"/>
      <c r="R33" s="93"/>
    </row>
    <row r="34" spans="2:18" x14ac:dyDescent="0.25">
      <c r="B34" s="143"/>
      <c r="C34" s="142" t="s">
        <v>153</v>
      </c>
      <c r="D34" s="92"/>
      <c r="E34" s="92"/>
      <c r="F34" s="92"/>
      <c r="G34" s="92"/>
      <c r="H34" s="92"/>
      <c r="I34" s="92"/>
      <c r="J34" s="92"/>
      <c r="K34" s="92"/>
      <c r="L34" s="92"/>
      <c r="M34" s="92"/>
      <c r="N34" s="92"/>
      <c r="O34" s="92"/>
      <c r="P34" s="92"/>
      <c r="Q34" s="92"/>
      <c r="R34" s="93"/>
    </row>
    <row r="35" spans="2:18" x14ac:dyDescent="0.25">
      <c r="B35" s="143"/>
      <c r="C35" s="142" t="s">
        <v>154</v>
      </c>
      <c r="D35" s="92"/>
      <c r="E35" s="92"/>
      <c r="F35" s="92"/>
      <c r="G35" s="92"/>
      <c r="H35" s="92"/>
      <c r="I35" s="92"/>
      <c r="J35" s="92"/>
      <c r="K35" s="92"/>
      <c r="L35" s="92"/>
      <c r="M35" s="92"/>
      <c r="N35" s="92"/>
      <c r="O35" s="92"/>
      <c r="P35" s="92"/>
      <c r="Q35" s="92"/>
      <c r="R35" s="93"/>
    </row>
    <row r="36" spans="2:18" x14ac:dyDescent="0.25">
      <c r="B36" s="91"/>
      <c r="C36" s="92"/>
      <c r="D36" s="92"/>
      <c r="E36" s="92"/>
      <c r="F36" s="92"/>
      <c r="G36" s="92"/>
      <c r="H36" s="92"/>
      <c r="I36" s="92"/>
      <c r="J36" s="92"/>
      <c r="K36" s="92"/>
      <c r="L36" s="92"/>
      <c r="M36" s="92"/>
      <c r="N36" s="92"/>
      <c r="O36" s="92"/>
      <c r="P36" s="92"/>
      <c r="Q36" s="92"/>
      <c r="R36" s="93"/>
    </row>
    <row r="37" spans="2:18" x14ac:dyDescent="0.25">
      <c r="B37" s="122" t="s">
        <v>117</v>
      </c>
      <c r="C37" s="92"/>
      <c r="D37" s="92"/>
      <c r="E37" s="92"/>
      <c r="F37" s="92"/>
      <c r="G37" s="92"/>
      <c r="H37" s="92"/>
      <c r="I37" s="92"/>
      <c r="J37" s="92"/>
      <c r="K37" s="92"/>
      <c r="L37" s="92"/>
      <c r="M37" s="92"/>
      <c r="N37" s="92"/>
      <c r="O37" s="92"/>
      <c r="P37" s="92"/>
      <c r="Q37" s="92"/>
      <c r="R37" s="93"/>
    </row>
    <row r="38" spans="2:18" x14ac:dyDescent="0.25">
      <c r="B38" s="97" t="s">
        <v>118</v>
      </c>
      <c r="C38" s="92"/>
      <c r="D38" s="92"/>
      <c r="E38" s="92"/>
      <c r="F38" s="92"/>
      <c r="G38" s="92"/>
      <c r="H38" s="92"/>
      <c r="I38" s="92"/>
      <c r="J38" s="92"/>
      <c r="K38" s="92"/>
      <c r="L38" s="92"/>
      <c r="M38" s="92"/>
      <c r="N38" s="92"/>
      <c r="O38" s="92"/>
      <c r="P38" s="92"/>
      <c r="Q38" s="92"/>
      <c r="R38" s="93"/>
    </row>
    <row r="39" spans="2:18" x14ac:dyDescent="0.25">
      <c r="B39" s="97" t="s">
        <v>108</v>
      </c>
      <c r="C39" s="92"/>
      <c r="D39" s="92"/>
      <c r="E39" s="92"/>
      <c r="F39" s="92"/>
      <c r="G39" s="92"/>
      <c r="H39" s="92"/>
      <c r="I39" s="92"/>
      <c r="J39" s="92"/>
      <c r="K39" s="92"/>
      <c r="L39" s="92"/>
      <c r="M39" s="92"/>
      <c r="N39" s="92"/>
      <c r="O39" s="92"/>
      <c r="P39" s="92"/>
      <c r="Q39" s="92"/>
      <c r="R39" s="93"/>
    </row>
    <row r="40" spans="2:18" x14ac:dyDescent="0.25">
      <c r="B40" s="91"/>
      <c r="C40" s="92"/>
      <c r="D40" s="92"/>
      <c r="E40" s="92"/>
      <c r="F40" s="92"/>
      <c r="G40" s="92"/>
      <c r="H40" s="92"/>
      <c r="I40" s="92"/>
      <c r="J40" s="92"/>
      <c r="K40" s="92"/>
      <c r="L40" s="92"/>
      <c r="M40" s="92"/>
      <c r="N40" s="92"/>
      <c r="O40" s="92"/>
      <c r="P40" s="92"/>
      <c r="Q40" s="92"/>
      <c r="R40" s="93"/>
    </row>
    <row r="41" spans="2:18" x14ac:dyDescent="0.25">
      <c r="B41" s="103" t="s">
        <v>76</v>
      </c>
      <c r="C41" s="92"/>
      <c r="D41" s="92"/>
      <c r="E41" s="92"/>
      <c r="F41" s="92"/>
      <c r="G41" s="92"/>
      <c r="H41" s="92"/>
      <c r="I41" s="92"/>
      <c r="J41" s="92"/>
      <c r="K41" s="92"/>
      <c r="L41" s="92"/>
      <c r="M41" s="92"/>
      <c r="N41" s="92"/>
      <c r="O41" s="92"/>
      <c r="P41" s="92"/>
      <c r="Q41" s="92"/>
      <c r="R41" s="93"/>
    </row>
    <row r="42" spans="2:18" x14ac:dyDescent="0.25">
      <c r="B42" s="97" t="s">
        <v>77</v>
      </c>
      <c r="C42" s="92"/>
      <c r="D42" s="92"/>
      <c r="E42" s="92"/>
      <c r="F42" s="92"/>
      <c r="G42" s="92"/>
      <c r="H42" s="92"/>
      <c r="I42" s="92"/>
      <c r="J42" s="92"/>
      <c r="K42" s="92"/>
      <c r="L42" s="92"/>
      <c r="M42" s="92"/>
      <c r="N42" s="92"/>
      <c r="O42" s="92"/>
      <c r="P42" s="92"/>
      <c r="Q42" s="92"/>
      <c r="R42" s="93"/>
    </row>
    <row r="43" spans="2:18" x14ac:dyDescent="0.25">
      <c r="B43" s="97" t="s">
        <v>78</v>
      </c>
      <c r="C43" s="92"/>
      <c r="D43" s="92"/>
      <c r="E43" s="92"/>
      <c r="F43" s="92"/>
      <c r="G43" s="92"/>
      <c r="H43" s="92"/>
      <c r="I43" s="92"/>
      <c r="J43" s="92"/>
      <c r="K43" s="92"/>
      <c r="L43" s="92"/>
      <c r="M43" s="92"/>
      <c r="N43" s="92"/>
      <c r="O43" s="92"/>
      <c r="P43" s="92"/>
      <c r="Q43" s="92"/>
      <c r="R43" s="93"/>
    </row>
    <row r="44" spans="2:18" x14ac:dyDescent="0.25">
      <c r="B44" s="97" t="s">
        <v>79</v>
      </c>
      <c r="C44" s="92"/>
      <c r="D44" s="92"/>
      <c r="E44" s="92"/>
      <c r="F44" s="92"/>
      <c r="G44" s="92"/>
      <c r="H44" s="92"/>
      <c r="I44" s="92"/>
      <c r="J44" s="92"/>
      <c r="K44" s="92"/>
      <c r="L44" s="92"/>
      <c r="M44" s="92"/>
      <c r="N44" s="92"/>
      <c r="O44" s="92"/>
      <c r="P44" s="92"/>
      <c r="Q44" s="92"/>
      <c r="R44" s="93"/>
    </row>
    <row r="45" spans="2:18" x14ac:dyDescent="0.25">
      <c r="B45" s="97" t="s">
        <v>84</v>
      </c>
      <c r="C45" s="92"/>
      <c r="D45" s="92"/>
      <c r="E45" s="92"/>
      <c r="F45" s="92"/>
      <c r="G45" s="92"/>
      <c r="H45" s="92"/>
      <c r="I45" s="92"/>
      <c r="J45" s="92"/>
      <c r="K45" s="92"/>
      <c r="L45" s="92"/>
      <c r="M45" s="92"/>
      <c r="N45" s="92"/>
      <c r="O45" s="92"/>
      <c r="P45" s="92"/>
      <c r="Q45" s="92"/>
      <c r="R45" s="93"/>
    </row>
    <row r="46" spans="2:18" ht="8.25" customHeight="1" x14ac:dyDescent="0.25">
      <c r="B46" s="97"/>
      <c r="C46" s="92"/>
      <c r="D46" s="92"/>
      <c r="E46" s="92"/>
      <c r="F46" s="92"/>
      <c r="G46" s="92"/>
      <c r="H46" s="92"/>
      <c r="I46" s="92"/>
      <c r="J46" s="92"/>
      <c r="K46" s="92"/>
      <c r="L46" s="92"/>
      <c r="M46" s="92"/>
      <c r="N46" s="92"/>
      <c r="O46" s="92"/>
      <c r="P46" s="92"/>
      <c r="Q46" s="92"/>
      <c r="R46" s="93"/>
    </row>
    <row r="47" spans="2:18" x14ac:dyDescent="0.25">
      <c r="B47" s="97" t="s">
        <v>89</v>
      </c>
      <c r="C47" s="92"/>
      <c r="D47" s="92"/>
      <c r="E47" s="92"/>
      <c r="F47" s="92"/>
      <c r="G47" s="92"/>
      <c r="H47" s="92"/>
      <c r="I47" s="92"/>
      <c r="J47" s="92"/>
      <c r="K47" s="92"/>
      <c r="L47" s="92"/>
      <c r="M47" s="92"/>
      <c r="N47" s="92"/>
      <c r="O47" s="92"/>
      <c r="P47" s="92"/>
      <c r="Q47" s="92"/>
      <c r="R47" s="93"/>
    </row>
    <row r="48" spans="2:18" ht="8.25" customHeight="1" x14ac:dyDescent="0.25">
      <c r="B48" s="91"/>
      <c r="C48" s="92"/>
      <c r="D48" s="92"/>
      <c r="E48" s="92"/>
      <c r="F48" s="92"/>
      <c r="G48" s="92"/>
      <c r="H48" s="92"/>
      <c r="I48" s="92"/>
      <c r="J48" s="92"/>
      <c r="K48" s="92"/>
      <c r="L48" s="92"/>
      <c r="M48" s="92"/>
      <c r="N48" s="92"/>
      <c r="O48" s="92"/>
      <c r="P48" s="92"/>
      <c r="Q48" s="92"/>
      <c r="R48" s="93"/>
    </row>
    <row r="49" spans="2:18" x14ac:dyDescent="0.25">
      <c r="B49" s="97" t="s">
        <v>85</v>
      </c>
      <c r="C49" s="92"/>
      <c r="D49" s="92"/>
      <c r="E49" s="92"/>
      <c r="F49" s="92"/>
      <c r="G49" s="92"/>
      <c r="H49" s="92"/>
      <c r="I49" s="92"/>
      <c r="J49" s="92"/>
      <c r="K49" s="92"/>
      <c r="L49" s="92"/>
      <c r="M49" s="92"/>
      <c r="N49" s="92"/>
      <c r="O49" s="92"/>
      <c r="P49" s="92"/>
      <c r="Q49" s="92"/>
      <c r="R49" s="93"/>
    </row>
    <row r="50" spans="2:18" ht="8.25" customHeight="1" thickBot="1" x14ac:dyDescent="0.3">
      <c r="B50" s="94"/>
      <c r="C50" s="95"/>
      <c r="D50" s="95"/>
      <c r="E50" s="95"/>
      <c r="F50" s="95"/>
      <c r="G50" s="95"/>
      <c r="H50" s="95"/>
      <c r="I50" s="95"/>
      <c r="J50" s="95"/>
      <c r="K50" s="95"/>
      <c r="L50" s="95"/>
      <c r="M50" s="95"/>
      <c r="N50" s="95"/>
      <c r="O50" s="95"/>
      <c r="P50" s="95"/>
      <c r="Q50" s="95"/>
      <c r="R50" s="96"/>
    </row>
  </sheetData>
  <sheetProtection algorithmName="SHA-512" hashValue="7IiuPRb/V688+ZYtnR8wPikuI28kr5CDJW/bmSfKfwEN1T4gf6Ke/S/hZxMuRXyLqIeXeX+WCRRbEXoJAIWsnQ==" saltValue="mrhyIX5m2rLlvYcv6YVDGw=="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AX78"/>
  <sheetViews>
    <sheetView showGridLines="0" showRowColHeaders="0" tabSelected="1" topLeftCell="E1" zoomScaleNormal="100" zoomScaleSheetLayoutView="85" workbookViewId="0">
      <selection activeCell="M2" sqref="M2:AP2"/>
    </sheetView>
  </sheetViews>
  <sheetFormatPr defaultRowHeight="15" x14ac:dyDescent="0.25"/>
  <cols>
    <col min="1" max="4" width="5.7109375" hidden="1" customWidth="1"/>
    <col min="5" max="5" width="1.42578125" customWidth="1"/>
    <col min="6" max="13" width="4.28515625" customWidth="1"/>
    <col min="14" max="14" width="2.140625" customWidth="1"/>
    <col min="15" max="20" width="4.28515625" customWidth="1"/>
    <col min="21" max="21" width="1.42578125" customWidth="1"/>
    <col min="22" max="22" width="2.85546875" customWidth="1"/>
    <col min="23" max="23" width="4.28515625" customWidth="1"/>
    <col min="24" max="24" width="2.140625" customWidth="1"/>
    <col min="25" max="32" width="4.28515625" customWidth="1"/>
    <col min="33" max="33" width="2.140625" customWidth="1"/>
    <col min="34" max="41" width="4.28515625" customWidth="1"/>
    <col min="42" max="42" width="2.140625" customWidth="1"/>
    <col min="43" max="43" width="28.28515625" customWidth="1"/>
    <col min="44" max="44" width="4.28515625" customWidth="1"/>
    <col min="45" max="45" width="1.28515625" customWidth="1"/>
    <col min="46" max="46" width="0" hidden="1" customWidth="1"/>
    <col min="47" max="47" width="12.28515625" hidden="1" customWidth="1"/>
    <col min="48" max="48" width="9.28515625" hidden="1" customWidth="1"/>
    <col min="49" max="49" width="0" hidden="1" customWidth="1"/>
    <col min="50" max="50" width="12.85546875" hidden="1" customWidth="1"/>
  </cols>
  <sheetData>
    <row r="1" spans="1:50" ht="7.5" customHeight="1" thickBot="1" x14ac:dyDescent="0.3"/>
    <row r="2" spans="1:50" x14ac:dyDescent="0.25">
      <c r="F2" s="239" t="str">
        <f>IF(T9=1,"Aanbestedende dienst:","Aanbesteder:")</f>
        <v>Aanbesteder:</v>
      </c>
      <c r="G2" s="240"/>
      <c r="H2" s="240"/>
      <c r="I2" s="240"/>
      <c r="J2" s="241"/>
      <c r="K2" s="241"/>
      <c r="L2" s="241"/>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117"/>
      <c r="AR2" s="118"/>
    </row>
    <row r="3" spans="1:50" x14ac:dyDescent="0.25">
      <c r="F3" s="242" t="s">
        <v>94</v>
      </c>
      <c r="G3" s="243"/>
      <c r="H3" s="243"/>
      <c r="I3" s="244"/>
      <c r="J3" s="245"/>
      <c r="K3" s="245"/>
      <c r="L3" s="245"/>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116"/>
      <c r="AR3" s="119"/>
    </row>
    <row r="4" spans="1:50" ht="15.75" thickBot="1" x14ac:dyDescent="0.3">
      <c r="F4" s="246" t="s">
        <v>95</v>
      </c>
      <c r="G4" s="247"/>
      <c r="H4" s="247"/>
      <c r="I4" s="247"/>
      <c r="J4" s="248"/>
      <c r="K4" s="248"/>
      <c r="L4" s="248"/>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120"/>
      <c r="AR4" s="121"/>
    </row>
    <row r="5" spans="1:50" ht="9" customHeight="1" x14ac:dyDescent="0.25"/>
    <row r="6" spans="1:50" x14ac:dyDescent="0.25">
      <c r="A6" s="54" t="s">
        <v>1</v>
      </c>
      <c r="B6" s="55"/>
      <c r="C6" s="55"/>
      <c r="D6" s="56"/>
      <c r="E6" s="84"/>
      <c r="F6" s="16" t="s">
        <v>29</v>
      </c>
      <c r="G6" s="4"/>
      <c r="H6" s="4"/>
      <c r="I6" s="4"/>
      <c r="J6" s="4"/>
      <c r="K6" s="4"/>
      <c r="L6" s="4"/>
      <c r="M6" s="4"/>
      <c r="N6" s="4"/>
      <c r="O6" s="4"/>
      <c r="P6" s="4"/>
      <c r="Q6" s="4"/>
      <c r="R6" s="4"/>
      <c r="S6" s="4"/>
      <c r="T6" s="4"/>
      <c r="U6" s="4"/>
      <c r="V6" s="4"/>
      <c r="W6" s="37"/>
      <c r="X6" s="84"/>
      <c r="Y6" s="38" t="s">
        <v>15</v>
      </c>
      <c r="Z6" s="39"/>
      <c r="AA6" s="39"/>
      <c r="AB6" s="39"/>
      <c r="AC6" s="39"/>
      <c r="AD6" s="39"/>
      <c r="AE6" s="39"/>
      <c r="AF6" s="39"/>
      <c r="AG6" s="39"/>
      <c r="AH6" s="39"/>
      <c r="AI6" s="39"/>
      <c r="AJ6" s="39"/>
      <c r="AK6" s="39"/>
      <c r="AL6" s="39"/>
      <c r="AM6" s="39"/>
      <c r="AN6" s="39"/>
      <c r="AO6" s="39"/>
      <c r="AP6" s="39"/>
      <c r="AQ6" s="39"/>
      <c r="AR6" s="40"/>
      <c r="AT6" s="54" t="s">
        <v>119</v>
      </c>
      <c r="AU6" s="54"/>
      <c r="AV6" s="54"/>
      <c r="AW6" s="54"/>
      <c r="AX6" s="54"/>
    </row>
    <row r="7" spans="1:50" x14ac:dyDescent="0.25">
      <c r="A7" s="57" t="s">
        <v>10</v>
      </c>
      <c r="B7" s="58"/>
      <c r="C7" s="58"/>
      <c r="D7" s="59"/>
      <c r="E7" s="84"/>
      <c r="F7" s="14" t="s">
        <v>163</v>
      </c>
      <c r="G7" s="19"/>
      <c r="H7" s="19"/>
      <c r="I7" s="19"/>
      <c r="J7" s="19"/>
      <c r="K7" s="19"/>
      <c r="L7" s="19"/>
      <c r="M7" s="19"/>
      <c r="N7" s="169"/>
      <c r="O7" s="169"/>
      <c r="P7" s="169"/>
      <c r="Q7" s="169"/>
      <c r="R7" s="169"/>
      <c r="S7" s="169"/>
      <c r="T7" s="19"/>
      <c r="U7" s="19"/>
      <c r="V7" s="19"/>
      <c r="W7" s="20"/>
      <c r="X7" s="84"/>
      <c r="Y7" s="30" t="str">
        <f>IF(B9=1,"De stappen en minimumtermijnen worden toegepast zoals vermeld in de Aanbestedingswet 2012, herzien in 2016","De stappen en minimumtermijnen worden toegepast zoals vermeld in hoofdstuk 3 van het ARW")</f>
        <v>De stappen en minimumtermijnen worden toegepast zoals vermeld in de Aanbestedingswet 2012, herzien in 2016</v>
      </c>
      <c r="Z7" s="31"/>
      <c r="AA7" s="31"/>
      <c r="AB7" s="31"/>
      <c r="AC7" s="31"/>
      <c r="AD7" s="31"/>
      <c r="AE7" s="31"/>
      <c r="AF7" s="31"/>
      <c r="AG7" s="31"/>
      <c r="AH7" s="31"/>
      <c r="AI7" s="31"/>
      <c r="AJ7" s="31"/>
      <c r="AK7" s="31"/>
      <c r="AL7" s="31"/>
      <c r="AM7" s="31"/>
      <c r="AN7" s="31"/>
      <c r="AO7" s="31"/>
      <c r="AP7" s="31"/>
      <c r="AQ7" s="31"/>
      <c r="AR7" s="32"/>
      <c r="AT7" s="124" t="s">
        <v>122</v>
      </c>
      <c r="AU7" s="125">
        <f>YEAR(L12)</f>
        <v>2017</v>
      </c>
      <c r="AV7" s="126">
        <f>AU7+1</f>
        <v>2018</v>
      </c>
      <c r="AW7" s="1" t="s">
        <v>137</v>
      </c>
    </row>
    <row r="8" spans="1:50" x14ac:dyDescent="0.25">
      <c r="A8" s="57" t="s">
        <v>57</v>
      </c>
      <c r="B8" s="58"/>
      <c r="C8" s="58"/>
      <c r="D8" s="59"/>
      <c r="E8" s="84"/>
      <c r="F8" s="15"/>
      <c r="G8" s="19"/>
      <c r="H8" s="19"/>
      <c r="I8" s="19"/>
      <c r="J8" s="19"/>
      <c r="K8" s="19"/>
      <c r="L8" s="19"/>
      <c r="M8" s="19"/>
      <c r="N8" s="169"/>
      <c r="O8" s="169"/>
      <c r="P8" s="169"/>
      <c r="Q8" s="169"/>
      <c r="R8" s="169"/>
      <c r="S8" s="169"/>
      <c r="T8" s="19"/>
      <c r="U8" s="19"/>
      <c r="V8" s="19"/>
      <c r="W8" s="20"/>
      <c r="X8" s="84"/>
      <c r="Y8" s="33"/>
      <c r="Z8" s="31"/>
      <c r="AA8" s="31"/>
      <c r="AB8" s="31"/>
      <c r="AC8" s="31"/>
      <c r="AD8" s="31"/>
      <c r="AE8" s="31"/>
      <c r="AF8" s="31"/>
      <c r="AG8" s="31"/>
      <c r="AH8" s="31"/>
      <c r="AI8" s="31"/>
      <c r="AJ8" s="31"/>
      <c r="AK8" s="31"/>
      <c r="AL8" s="31"/>
      <c r="AM8" s="31"/>
      <c r="AN8" s="31"/>
      <c r="AO8" s="31"/>
      <c r="AP8" s="31"/>
      <c r="AQ8" s="31"/>
      <c r="AR8" s="32"/>
      <c r="AT8" s="127" t="s">
        <v>123</v>
      </c>
      <c r="AU8" s="128">
        <f>DATE(AU7,1,1)</f>
        <v>42736</v>
      </c>
      <c r="AV8" s="128">
        <f>DATE(AV7,1,1)</f>
        <v>43101</v>
      </c>
      <c r="AW8" s="1" t="s">
        <v>139</v>
      </c>
      <c r="AX8">
        <v>1</v>
      </c>
    </row>
    <row r="9" spans="1:50" x14ac:dyDescent="0.25">
      <c r="A9" s="57" t="s">
        <v>3</v>
      </c>
      <c r="B9" s="60">
        <v>1</v>
      </c>
      <c r="C9" s="58"/>
      <c r="D9" s="59"/>
      <c r="E9" s="84"/>
      <c r="F9" s="14" t="s">
        <v>164</v>
      </c>
      <c r="G9" s="19"/>
      <c r="H9" s="19"/>
      <c r="I9" s="19"/>
      <c r="J9" s="19"/>
      <c r="K9" s="19"/>
      <c r="L9" s="19"/>
      <c r="M9" s="19"/>
      <c r="N9" s="169"/>
      <c r="O9" s="169"/>
      <c r="P9" s="169"/>
      <c r="Q9" s="169"/>
      <c r="R9" s="169"/>
      <c r="S9" s="169"/>
      <c r="T9" s="19"/>
      <c r="U9" s="19"/>
      <c r="V9" s="19"/>
      <c r="W9" s="20"/>
      <c r="Y9" s="30" t="str">
        <f>IF(B13=1,"De Aanbestedingsplanner rekent vanaf de datum van aankondiging naar het moment van gunning","De Aanbestedingsplanner berekent vanaf het gunningsmoment naar de datum van aankondiging")</f>
        <v>De Aanbestedingsplanner rekent vanaf de datum van aankondiging naar het moment van gunning</v>
      </c>
      <c r="Z9" s="31"/>
      <c r="AA9" s="31"/>
      <c r="AB9" s="31"/>
      <c r="AC9" s="31"/>
      <c r="AD9" s="31"/>
      <c r="AE9" s="31"/>
      <c r="AF9" s="31"/>
      <c r="AG9" s="31"/>
      <c r="AH9" s="31"/>
      <c r="AI9" s="31"/>
      <c r="AJ9" s="31"/>
      <c r="AK9" s="31"/>
      <c r="AL9" s="31"/>
      <c r="AM9" s="31"/>
      <c r="AN9" s="31"/>
      <c r="AO9" s="31"/>
      <c r="AP9" s="31"/>
      <c r="AQ9" s="31"/>
      <c r="AR9" s="32"/>
      <c r="AT9" s="129"/>
      <c r="AU9" s="130"/>
      <c r="AV9" s="130"/>
      <c r="AW9" s="1" t="s">
        <v>138</v>
      </c>
      <c r="AX9">
        <v>17</v>
      </c>
    </row>
    <row r="10" spans="1:50" x14ac:dyDescent="0.25">
      <c r="A10" s="61"/>
      <c r="B10" s="58"/>
      <c r="C10" s="58"/>
      <c r="D10" s="59"/>
      <c r="E10" s="84"/>
      <c r="F10" s="15"/>
      <c r="G10" s="19"/>
      <c r="H10" s="19"/>
      <c r="I10" s="19"/>
      <c r="J10" s="19"/>
      <c r="K10" s="19"/>
      <c r="L10" s="19"/>
      <c r="M10" s="19"/>
      <c r="N10" s="169"/>
      <c r="O10" s="169"/>
      <c r="P10" s="169"/>
      <c r="Q10" s="169"/>
      <c r="R10" s="169"/>
      <c r="S10" s="169"/>
      <c r="T10" s="19"/>
      <c r="U10" s="19"/>
      <c r="V10" s="19"/>
      <c r="W10" s="20"/>
      <c r="X10" s="84"/>
      <c r="Y10" s="33"/>
      <c r="Z10" s="31"/>
      <c r="AA10" s="31"/>
      <c r="AB10" s="31"/>
      <c r="AC10" s="31"/>
      <c r="AD10" s="31"/>
      <c r="AE10" s="31"/>
      <c r="AF10" s="31"/>
      <c r="AG10" s="31"/>
      <c r="AH10" s="31"/>
      <c r="AI10" s="31"/>
      <c r="AJ10" s="31"/>
      <c r="AK10" s="31"/>
      <c r="AL10" s="31"/>
      <c r="AM10" s="31"/>
      <c r="AN10" s="31"/>
      <c r="AO10" s="31"/>
      <c r="AP10" s="31"/>
      <c r="AQ10" s="31"/>
      <c r="AR10" s="32"/>
      <c r="AT10" s="129"/>
      <c r="AU10" s="130"/>
      <c r="AV10" s="130"/>
      <c r="AW10" s="133" t="s">
        <v>138</v>
      </c>
      <c r="AX10">
        <v>18</v>
      </c>
    </row>
    <row r="11" spans="1:50" x14ac:dyDescent="0.25">
      <c r="A11" s="61" t="s">
        <v>33</v>
      </c>
      <c r="B11" s="58"/>
      <c r="C11" s="58"/>
      <c r="D11" s="59"/>
      <c r="E11" s="84"/>
      <c r="F11" s="14" t="s">
        <v>4</v>
      </c>
      <c r="G11" s="19"/>
      <c r="H11" s="19"/>
      <c r="I11" s="19"/>
      <c r="J11" s="19"/>
      <c r="K11" s="21"/>
      <c r="L11" s="19"/>
      <c r="M11" s="19"/>
      <c r="N11" s="169"/>
      <c r="O11" s="169"/>
      <c r="P11" s="169"/>
      <c r="Q11" s="169"/>
      <c r="R11" s="169"/>
      <c r="S11" s="169"/>
      <c r="T11" s="19"/>
      <c r="U11" s="19"/>
      <c r="V11" s="19"/>
      <c r="W11" s="20"/>
      <c r="X11" s="84"/>
      <c r="Y11" s="30" t="s">
        <v>43</v>
      </c>
      <c r="Z11" s="31"/>
      <c r="AA11" s="31"/>
      <c r="AB11" s="31"/>
      <c r="AC11" s="31"/>
      <c r="AD11" s="31"/>
      <c r="AE11" s="31"/>
      <c r="AF11" s="31"/>
      <c r="AG11" s="31"/>
      <c r="AH11" s="31"/>
      <c r="AI11" s="31"/>
      <c r="AJ11" s="31"/>
      <c r="AK11" s="31"/>
      <c r="AL11" s="31"/>
      <c r="AM11" s="31"/>
      <c r="AN11" s="31"/>
      <c r="AO11" s="31"/>
      <c r="AP11" s="31"/>
      <c r="AQ11" s="31"/>
      <c r="AR11" s="32"/>
      <c r="AT11" s="129" t="s">
        <v>124</v>
      </c>
      <c r="AU11" s="130">
        <f>AU12-3</f>
        <v>42839</v>
      </c>
      <c r="AV11" s="130">
        <f>AV12-3</f>
        <v>43189</v>
      </c>
      <c r="AW11" s="133" t="s">
        <v>140</v>
      </c>
      <c r="AX11">
        <v>28</v>
      </c>
    </row>
    <row r="12" spans="1:50" x14ac:dyDescent="0.25">
      <c r="A12" s="57" t="s">
        <v>34</v>
      </c>
      <c r="B12" s="58"/>
      <c r="C12" s="58"/>
      <c r="D12" s="59"/>
      <c r="E12" s="84"/>
      <c r="F12" s="15" t="s">
        <v>5</v>
      </c>
      <c r="G12" s="19"/>
      <c r="H12" s="19"/>
      <c r="I12" s="19"/>
      <c r="J12" s="19"/>
      <c r="K12" s="169"/>
      <c r="L12" s="180" t="s">
        <v>187</v>
      </c>
      <c r="M12" s="181"/>
      <c r="N12" s="182"/>
      <c r="O12" s="169"/>
      <c r="P12" s="169"/>
      <c r="Q12" s="169"/>
      <c r="R12" s="19"/>
      <c r="S12" s="19"/>
      <c r="T12" s="19"/>
      <c r="U12" s="19"/>
      <c r="V12" s="19"/>
      <c r="W12" s="20"/>
      <c r="X12" s="84"/>
      <c r="Y12" s="30" t="str">
        <f>IF(B13=1,"Dit is de datum van de publicatie van de aankondiging","Dit is de datum van gunning")</f>
        <v>Dit is de datum van de publicatie van de aankondiging</v>
      </c>
      <c r="Z12" s="31"/>
      <c r="AA12" s="31"/>
      <c r="AB12" s="31"/>
      <c r="AC12" s="31"/>
      <c r="AD12" s="31"/>
      <c r="AE12" s="31"/>
      <c r="AF12" s="31"/>
      <c r="AG12" s="31"/>
      <c r="AH12" s="31"/>
      <c r="AI12" s="31"/>
      <c r="AJ12" s="31"/>
      <c r="AK12" s="31"/>
      <c r="AL12" s="31"/>
      <c r="AM12" s="31"/>
      <c r="AN12" s="31"/>
      <c r="AO12" s="31"/>
      <c r="AP12" s="31"/>
      <c r="AQ12" s="31"/>
      <c r="AR12" s="32"/>
      <c r="AT12" s="129" t="s">
        <v>125</v>
      </c>
      <c r="AU12" s="130">
        <f>FIXED(("4/"&amp;AU7)/7+MOD(MOD(AU7,19)*19-7,30)*14%,0)*7-5</f>
        <v>42842</v>
      </c>
      <c r="AV12" s="130">
        <f>FIXED(("4/"&amp;AV7)/7+MOD(MOD(AV7,19)*19-7,30)*14%,0)*7-5</f>
        <v>43192</v>
      </c>
      <c r="AW12" s="133" t="s">
        <v>140</v>
      </c>
      <c r="AX12">
        <v>29</v>
      </c>
    </row>
    <row r="13" spans="1:50" x14ac:dyDescent="0.25">
      <c r="A13" s="61" t="s">
        <v>3</v>
      </c>
      <c r="B13" s="60">
        <v>1</v>
      </c>
      <c r="C13" s="58"/>
      <c r="D13" s="59"/>
      <c r="E13" s="84"/>
      <c r="F13" s="15"/>
      <c r="G13" s="19"/>
      <c r="H13" s="19"/>
      <c r="I13" s="19"/>
      <c r="J13" s="19"/>
      <c r="K13" s="22"/>
      <c r="L13" s="19"/>
      <c r="M13" s="19"/>
      <c r="N13" s="169"/>
      <c r="O13" s="169"/>
      <c r="P13" s="169"/>
      <c r="Q13" s="169"/>
      <c r="R13" s="169"/>
      <c r="S13" s="169"/>
      <c r="T13" s="19"/>
      <c r="U13" s="19"/>
      <c r="V13" s="19"/>
      <c r="W13" s="20"/>
      <c r="X13" s="84"/>
      <c r="Y13" s="33"/>
      <c r="Z13" s="31"/>
      <c r="AA13" s="31"/>
      <c r="AB13" s="31"/>
      <c r="AC13" s="31"/>
      <c r="AD13" s="31"/>
      <c r="AE13" s="31"/>
      <c r="AF13" s="31"/>
      <c r="AG13" s="31"/>
      <c r="AH13" s="31"/>
      <c r="AI13" s="31"/>
      <c r="AJ13" s="31"/>
      <c r="AK13" s="31"/>
      <c r="AL13" s="31"/>
      <c r="AM13" s="31"/>
      <c r="AN13" s="31"/>
      <c r="AO13" s="31"/>
      <c r="AP13" s="31"/>
      <c r="AQ13" s="31"/>
      <c r="AR13" s="32"/>
      <c r="AT13" s="129" t="s">
        <v>126</v>
      </c>
      <c r="AU13" s="130">
        <f>DATE(AU7,4,27)</f>
        <v>42852</v>
      </c>
      <c r="AV13" s="130">
        <f>DATE(AV7,4,27)</f>
        <v>43217</v>
      </c>
      <c r="AW13" s="133" t="s">
        <v>140</v>
      </c>
      <c r="AX13">
        <v>30</v>
      </c>
    </row>
    <row r="14" spans="1:50" x14ac:dyDescent="0.25">
      <c r="A14" s="54" t="s">
        <v>39</v>
      </c>
      <c r="B14" s="55"/>
      <c r="C14" s="55"/>
      <c r="D14" s="56"/>
      <c r="E14" s="84"/>
      <c r="F14" s="16" t="s">
        <v>38</v>
      </c>
      <c r="G14" s="23"/>
      <c r="H14" s="23"/>
      <c r="I14" s="23"/>
      <c r="J14" s="23"/>
      <c r="K14" s="24"/>
      <c r="L14" s="23"/>
      <c r="M14" s="23"/>
      <c r="N14" s="23"/>
      <c r="O14" s="23"/>
      <c r="P14" s="23"/>
      <c r="Q14" s="23"/>
      <c r="R14" s="23"/>
      <c r="S14" s="23"/>
      <c r="T14" s="23"/>
      <c r="U14" s="23"/>
      <c r="V14" s="23"/>
      <c r="W14" s="25"/>
      <c r="X14" s="84"/>
      <c r="Y14" s="33"/>
      <c r="Z14" s="31"/>
      <c r="AA14" s="31"/>
      <c r="AB14" s="31"/>
      <c r="AC14" s="31"/>
      <c r="AD14" s="31"/>
      <c r="AE14" s="31"/>
      <c r="AF14" s="31"/>
      <c r="AG14" s="31"/>
      <c r="AH14" s="31"/>
      <c r="AI14" s="31"/>
      <c r="AJ14" s="31"/>
      <c r="AK14" s="31"/>
      <c r="AL14" s="31"/>
      <c r="AM14" s="31"/>
      <c r="AN14" s="31"/>
      <c r="AO14" s="31"/>
      <c r="AP14" s="31"/>
      <c r="AQ14" s="31"/>
      <c r="AR14" s="32"/>
      <c r="AT14" s="129" t="s">
        <v>127</v>
      </c>
      <c r="AU14" s="130">
        <f>DATE(AU7,5,5)</f>
        <v>42860</v>
      </c>
      <c r="AV14" s="130">
        <f>DATE(AV7,5,5)</f>
        <v>43225</v>
      </c>
      <c r="AW14" s="133" t="s">
        <v>140</v>
      </c>
      <c r="AX14">
        <v>31</v>
      </c>
    </row>
    <row r="15" spans="1:50" x14ac:dyDescent="0.25">
      <c r="A15" s="57" t="s">
        <v>30</v>
      </c>
      <c r="B15" s="60" t="b">
        <v>0</v>
      </c>
      <c r="C15" s="58"/>
      <c r="D15" s="59"/>
      <c r="E15" s="84"/>
      <c r="F15" s="17"/>
      <c r="G15" s="19"/>
      <c r="H15" s="19"/>
      <c r="I15" s="19"/>
      <c r="J15" s="19"/>
      <c r="K15" s="22"/>
      <c r="L15" s="19"/>
      <c r="M15" s="19"/>
      <c r="N15" s="169"/>
      <c r="O15" s="169"/>
      <c r="P15" s="169"/>
      <c r="Q15" s="169"/>
      <c r="R15" s="169"/>
      <c r="S15" s="169"/>
      <c r="T15" s="19"/>
      <c r="U15" s="19"/>
      <c r="V15" s="19"/>
      <c r="W15" s="20"/>
      <c r="X15" s="84"/>
      <c r="Y15" s="30" t="str">
        <f>IF(B9=1,"2.74.b: de aanmeldtermijn mag 15 dagen, de inschrijvingstermijn mag worden verkort tot 10 dagen","3.20.4: de aanmeldtermijn mag 10 dagen, 3.24.5: de inschrijvingstermijn mag worden verkort tot 10 dagen")</f>
        <v>2.74.b: de aanmeldtermijn mag 15 dagen, de inschrijvingstermijn mag worden verkort tot 10 dagen</v>
      </c>
      <c r="Z15" s="31"/>
      <c r="AA15" s="31"/>
      <c r="AB15" s="31"/>
      <c r="AC15" s="31"/>
      <c r="AD15" s="31"/>
      <c r="AE15" s="31"/>
      <c r="AF15" s="31"/>
      <c r="AG15" s="31"/>
      <c r="AH15" s="31"/>
      <c r="AI15" s="31"/>
      <c r="AJ15" s="31"/>
      <c r="AK15" s="31"/>
      <c r="AL15" s="31"/>
      <c r="AM15" s="31"/>
      <c r="AN15" s="31"/>
      <c r="AO15" s="31"/>
      <c r="AP15" s="31"/>
      <c r="AQ15" s="31"/>
      <c r="AR15" s="32"/>
      <c r="AT15" s="129" t="s">
        <v>128</v>
      </c>
      <c r="AU15" s="130">
        <f>AU12+38</f>
        <v>42880</v>
      </c>
      <c r="AV15" s="130">
        <f>AV12+38</f>
        <v>43230</v>
      </c>
      <c r="AW15" s="133" t="s">
        <v>140</v>
      </c>
      <c r="AX15">
        <v>32</v>
      </c>
    </row>
    <row r="16" spans="1:50" x14ac:dyDescent="0.25">
      <c r="A16" s="57" t="s">
        <v>6</v>
      </c>
      <c r="B16" s="60" t="b">
        <v>0</v>
      </c>
      <c r="C16" s="60">
        <f>IF(B16=FALSE,40,29)</f>
        <v>40</v>
      </c>
      <c r="D16" s="62">
        <f>IF(B16=FALSE,21,21)</f>
        <v>21</v>
      </c>
      <c r="E16" s="84"/>
      <c r="F16" s="18" t="str">
        <f>IF(B$9=1,"Aw paragraaf 2.3.2.1","n.v.t.")</f>
        <v>Aw paragraaf 2.3.2.1</v>
      </c>
      <c r="G16" s="19"/>
      <c r="H16" s="19"/>
      <c r="I16" s="19"/>
      <c r="J16" s="19"/>
      <c r="K16" s="19"/>
      <c r="L16" s="19"/>
      <c r="M16" s="19"/>
      <c r="N16" s="169"/>
      <c r="O16" s="169"/>
      <c r="P16" s="169"/>
      <c r="Q16" s="169"/>
      <c r="R16" s="169"/>
      <c r="S16" s="169"/>
      <c r="T16" s="19"/>
      <c r="U16" s="19"/>
      <c r="V16" s="19"/>
      <c r="W16" s="20"/>
      <c r="X16" s="84"/>
      <c r="Y16" s="30" t="str">
        <f>IF(B9=1,"2.71-5: de inschrijvingstermijn mag worden verkort tot 29 dagen","De nationale procedure in het ARW kent geen vooraankondiging")</f>
        <v>2.71-5: de inschrijvingstermijn mag worden verkort tot 29 dagen</v>
      </c>
      <c r="Z16" s="31"/>
      <c r="AA16" s="31"/>
      <c r="AB16" s="31"/>
      <c r="AC16" s="31"/>
      <c r="AD16" s="31"/>
      <c r="AE16" s="31"/>
      <c r="AF16" s="31"/>
      <c r="AG16" s="31"/>
      <c r="AH16" s="31"/>
      <c r="AI16" s="31"/>
      <c r="AJ16" s="31"/>
      <c r="AK16" s="31"/>
      <c r="AL16" s="31"/>
      <c r="AM16" s="31"/>
      <c r="AN16" s="31"/>
      <c r="AO16" s="31"/>
      <c r="AP16" s="31"/>
      <c r="AQ16" s="31"/>
      <c r="AR16" s="32"/>
      <c r="AT16" s="129" t="s">
        <v>129</v>
      </c>
      <c r="AU16" s="130">
        <f>AU12+39</f>
        <v>42881</v>
      </c>
      <c r="AV16" s="130">
        <f>AV12+39</f>
        <v>43231</v>
      </c>
      <c r="AW16" s="133" t="s">
        <v>140</v>
      </c>
      <c r="AX16">
        <v>33</v>
      </c>
    </row>
    <row r="17" spans="1:50" x14ac:dyDescent="0.25">
      <c r="A17" s="57" t="s">
        <v>16</v>
      </c>
      <c r="B17" s="60" t="b">
        <v>1</v>
      </c>
      <c r="C17" s="60">
        <f>IF(B17=FALSE,5,0)</f>
        <v>0</v>
      </c>
      <c r="D17" s="62">
        <f>IF(B17=FALSE,5,0)</f>
        <v>0</v>
      </c>
      <c r="E17" s="84"/>
      <c r="F17" s="18" t="str">
        <f>IF(B$9=1,"Art. 2.66","ARW 3.15")</f>
        <v>Art. 2.66</v>
      </c>
      <c r="G17" s="26"/>
      <c r="H17" s="26"/>
      <c r="I17" s="19"/>
      <c r="J17" s="19"/>
      <c r="K17" s="19"/>
      <c r="L17" s="19"/>
      <c r="M17" s="19"/>
      <c r="N17" s="169"/>
      <c r="O17" s="169"/>
      <c r="P17" s="169"/>
      <c r="Q17" s="169"/>
      <c r="R17" s="169"/>
      <c r="S17" s="169"/>
      <c r="T17" s="19"/>
      <c r="U17" s="19"/>
      <c r="V17" s="19"/>
      <c r="W17" s="20"/>
      <c r="X17" s="84"/>
      <c r="Y17" s="30" t="str">
        <f>IF(B9=1,"2.72-1: inschrijvingstermijn 5 dagen langer wanneer niet alle aanbestedingsstukken, inclusief gunningsfase, rechtstreeks digitaal beschikbaar zijn op moment aankondiging!","3.24.6: inschrijvingstermijn 5 dagen langer wanneer niet alle aanbestedingsstukken, inclusief gunningsfase, rechtstreeks digitaal beschikbaar zijn op moment aankondiging!")</f>
        <v>2.72-1: inschrijvingstermijn 5 dagen langer wanneer niet alle aanbestedingsstukken, inclusief gunningsfase, rechtstreeks digitaal beschikbaar zijn op moment aankondiging!</v>
      </c>
      <c r="Z17" s="31"/>
      <c r="AA17" s="31"/>
      <c r="AB17" s="31"/>
      <c r="AC17" s="31"/>
      <c r="AD17" s="31"/>
      <c r="AE17" s="31"/>
      <c r="AF17" s="31"/>
      <c r="AG17" s="31"/>
      <c r="AH17" s="31"/>
      <c r="AI17" s="31"/>
      <c r="AJ17" s="31"/>
      <c r="AK17" s="31"/>
      <c r="AL17" s="31"/>
      <c r="AM17" s="31"/>
      <c r="AN17" s="31"/>
      <c r="AO17" s="31"/>
      <c r="AP17" s="31"/>
      <c r="AQ17" s="31"/>
      <c r="AR17" s="32"/>
      <c r="AT17" s="129" t="s">
        <v>130</v>
      </c>
      <c r="AU17" s="130">
        <f>AU12+49</f>
        <v>42891</v>
      </c>
      <c r="AV17" s="130">
        <f>AV12+49</f>
        <v>43241</v>
      </c>
      <c r="AW17" s="133" t="s">
        <v>140</v>
      </c>
      <c r="AX17">
        <v>34</v>
      </c>
    </row>
    <row r="18" spans="1:50" x14ac:dyDescent="0.25">
      <c r="A18" s="57" t="s">
        <v>7</v>
      </c>
      <c r="B18" s="60" t="b">
        <v>1</v>
      </c>
      <c r="C18" s="60">
        <f>IF(B18=FALSE,0,-5)</f>
        <v>-5</v>
      </c>
      <c r="D18" s="62">
        <f>IF(B18=FALSE,0,-5)</f>
        <v>-5</v>
      </c>
      <c r="E18" s="84"/>
      <c r="F18" s="15"/>
      <c r="G18" s="26"/>
      <c r="H18" s="26"/>
      <c r="I18" s="19"/>
      <c r="J18" s="19"/>
      <c r="K18" s="19"/>
      <c r="L18" s="19"/>
      <c r="M18" s="19"/>
      <c r="N18" s="169"/>
      <c r="O18" s="169"/>
      <c r="P18" s="169"/>
      <c r="Q18" s="169"/>
      <c r="R18" s="169"/>
      <c r="S18" s="169"/>
      <c r="T18" s="19"/>
      <c r="U18" s="19"/>
      <c r="V18" s="19"/>
      <c r="W18" s="20"/>
      <c r="X18" s="84"/>
      <c r="Y18" s="30" t="str">
        <f>IF(B9=1,"2.74b: inschrijvingstermijn mag 5 dagen korter als inschrijving elektronisch mag worden ingediend","3.24.2: inschrijvingstermijn mag 5 dagen korter als inschrijving elektronisch mag worden ingediend")</f>
        <v>2.74b: inschrijvingstermijn mag 5 dagen korter als inschrijving elektronisch mag worden ingediend</v>
      </c>
      <c r="Z18" s="31"/>
      <c r="AA18" s="31"/>
      <c r="AB18" s="31"/>
      <c r="AC18" s="31"/>
      <c r="AD18" s="31"/>
      <c r="AE18" s="31"/>
      <c r="AF18" s="31"/>
      <c r="AG18" s="31"/>
      <c r="AH18" s="31"/>
      <c r="AI18" s="31"/>
      <c r="AJ18" s="31"/>
      <c r="AK18" s="31"/>
      <c r="AL18" s="31"/>
      <c r="AM18" s="31"/>
      <c r="AN18" s="31"/>
      <c r="AO18" s="31"/>
      <c r="AP18" s="31"/>
      <c r="AQ18" s="31"/>
      <c r="AR18" s="32"/>
      <c r="AT18" s="129" t="s">
        <v>131</v>
      </c>
      <c r="AU18" s="130">
        <f>DATE(AU7,12,25)</f>
        <v>43094</v>
      </c>
      <c r="AV18" s="130">
        <f>DATE(AV7,12,25)</f>
        <v>43459</v>
      </c>
      <c r="AW18" s="133" t="s">
        <v>140</v>
      </c>
      <c r="AX18">
        <v>35</v>
      </c>
    </row>
    <row r="19" spans="1:50" x14ac:dyDescent="0.25">
      <c r="A19" s="57" t="s">
        <v>143</v>
      </c>
      <c r="B19" s="60" t="b">
        <v>1</v>
      </c>
      <c r="C19" s="60"/>
      <c r="D19" s="59"/>
      <c r="E19" s="84"/>
      <c r="F19" s="15"/>
      <c r="G19" s="19"/>
      <c r="H19" s="19"/>
      <c r="I19" s="19"/>
      <c r="J19" s="19"/>
      <c r="K19" s="19"/>
      <c r="L19" s="19"/>
      <c r="M19" s="19"/>
      <c r="N19" s="169"/>
      <c r="O19" s="169"/>
      <c r="P19" s="169"/>
      <c r="Q19" s="169"/>
      <c r="R19" s="169"/>
      <c r="S19" s="169"/>
      <c r="T19" s="19"/>
      <c r="U19" s="19"/>
      <c r="V19" s="19"/>
      <c r="W19" s="20"/>
      <c r="X19" s="84"/>
      <c r="Y19" s="30" t="str">
        <f>IF(B9=1,"De Aanbestedingswet kent geen opschortende termijn na bekendmaken selectie. Het toepassen ervan is vrijwillig, verstandig en niet ongebruikelijk.","3.23.3: uitgesloten en afgewezen gegadigden kunnen binnen 7 dagen na verzending bezwaar maken")</f>
        <v>De Aanbestedingswet kent geen opschortende termijn na bekendmaken selectie. Het toepassen ervan is vrijwillig, verstandig en niet ongebruikelijk.</v>
      </c>
      <c r="Z19" s="31"/>
      <c r="AA19" s="31"/>
      <c r="AB19" s="31"/>
      <c r="AC19" s="31"/>
      <c r="AD19" s="31"/>
      <c r="AE19" s="31"/>
      <c r="AF19" s="31"/>
      <c r="AG19" s="31"/>
      <c r="AH19" s="31"/>
      <c r="AI19" s="31"/>
      <c r="AJ19" s="31"/>
      <c r="AK19" s="31"/>
      <c r="AL19" s="31"/>
      <c r="AM19" s="31"/>
      <c r="AN19" s="31"/>
      <c r="AO19" s="31"/>
      <c r="AP19" s="31"/>
      <c r="AQ19" s="31"/>
      <c r="AR19" s="32"/>
      <c r="AT19" s="129" t="s">
        <v>132</v>
      </c>
      <c r="AU19" s="130">
        <f>DATE(AU7,12,26)</f>
        <v>43095</v>
      </c>
      <c r="AV19" s="130">
        <f>DATE(AV7,12,26)</f>
        <v>43460</v>
      </c>
      <c r="AW19" s="133" t="s">
        <v>139</v>
      </c>
      <c r="AX19">
        <f>WEEKNUM(AU19,21)</f>
        <v>52</v>
      </c>
    </row>
    <row r="20" spans="1:50" x14ac:dyDescent="0.25">
      <c r="A20" s="57" t="s">
        <v>8</v>
      </c>
      <c r="B20" s="60" t="b">
        <f>IF(B21=TRUE,TRUE,C20)</f>
        <v>0</v>
      </c>
      <c r="C20" s="60" t="b">
        <v>0</v>
      </c>
      <c r="D20" s="59"/>
      <c r="E20" s="84"/>
      <c r="F20" s="15"/>
      <c r="G20" s="19"/>
      <c r="H20" s="19"/>
      <c r="I20" s="19"/>
      <c r="J20" s="19"/>
      <c r="K20" s="19"/>
      <c r="L20" s="19"/>
      <c r="M20" s="19"/>
      <c r="N20" s="169"/>
      <c r="O20" s="169"/>
      <c r="P20" s="169"/>
      <c r="Q20" s="169"/>
      <c r="R20" s="169"/>
      <c r="S20" s="169"/>
      <c r="T20" s="19"/>
      <c r="U20" s="19"/>
      <c r="V20" s="19"/>
      <c r="W20" s="20"/>
      <c r="X20" s="84"/>
      <c r="Y20" s="33"/>
      <c r="Z20" s="31"/>
      <c r="AA20" s="31"/>
      <c r="AB20" s="31"/>
      <c r="AC20" s="31"/>
      <c r="AD20" s="31"/>
      <c r="AE20" s="31"/>
      <c r="AF20" s="31"/>
      <c r="AG20" s="31"/>
      <c r="AH20" s="31"/>
      <c r="AI20" s="31"/>
      <c r="AJ20" s="31"/>
      <c r="AK20" s="31"/>
      <c r="AL20" s="31"/>
      <c r="AM20" s="31"/>
      <c r="AN20" s="31"/>
      <c r="AO20" s="31"/>
      <c r="AP20" s="31"/>
      <c r="AQ20" s="31"/>
      <c r="AR20" s="32"/>
      <c r="AT20" s="131" t="s">
        <v>133</v>
      </c>
      <c r="AU20" s="132">
        <f>DATE(AU7,12,31)</f>
        <v>43100</v>
      </c>
      <c r="AV20" s="132">
        <f>DATE(AV7,12,31)</f>
        <v>43465</v>
      </c>
      <c r="AW20" s="133" t="s">
        <v>139</v>
      </c>
      <c r="AX20">
        <v>53</v>
      </c>
    </row>
    <row r="21" spans="1:50" ht="15.75" thickBot="1" x14ac:dyDescent="0.3">
      <c r="A21" s="63" t="s">
        <v>25</v>
      </c>
      <c r="B21" s="64" t="b">
        <f>C21</f>
        <v>0</v>
      </c>
      <c r="C21" s="64" t="b">
        <v>0</v>
      </c>
      <c r="D21" s="65"/>
      <c r="E21" s="84"/>
      <c r="F21" s="27"/>
      <c r="G21" s="28"/>
      <c r="H21" s="28"/>
      <c r="I21" s="28"/>
      <c r="J21" s="28"/>
      <c r="K21" s="28"/>
      <c r="L21" s="28"/>
      <c r="M21" s="28"/>
      <c r="N21" s="28"/>
      <c r="O21" s="28"/>
      <c r="P21" s="28"/>
      <c r="Q21" s="28"/>
      <c r="R21" s="28"/>
      <c r="S21" s="28"/>
      <c r="T21" s="28"/>
      <c r="U21" s="28"/>
      <c r="V21" s="28"/>
      <c r="W21" s="29"/>
      <c r="X21" s="84"/>
      <c r="Y21" s="136" t="str">
        <f>IF(B9=1,"2.73: inschrijvingstermijn moet verlengd worden opdat alle ondernemers kennis kunnen nemen van alle nodige informatie","3.25.5: inschrijvingstermijn moet verlengd worden opdat alle ondernemers kennis kunnen nemen van alle nodige informatie")</f>
        <v>2.73: inschrijvingstermijn moet verlengd worden opdat alle ondernemers kennis kunnen nemen van alle nodige informatie</v>
      </c>
      <c r="Z21" s="134"/>
      <c r="AA21" s="134"/>
      <c r="AB21" s="134"/>
      <c r="AC21" s="134"/>
      <c r="AD21" s="134"/>
      <c r="AE21" s="134"/>
      <c r="AF21" s="134"/>
      <c r="AG21" s="134"/>
      <c r="AH21" s="134"/>
      <c r="AI21" s="134"/>
      <c r="AJ21" s="134"/>
      <c r="AK21" s="134"/>
      <c r="AL21" s="134"/>
      <c r="AM21" s="134"/>
      <c r="AN21" s="134"/>
      <c r="AO21" s="134"/>
      <c r="AP21" s="134"/>
      <c r="AQ21" s="134"/>
      <c r="AR21" s="135"/>
    </row>
    <row r="22" spans="1:50" ht="7.5" customHeight="1" thickBot="1" x14ac:dyDescent="0.3">
      <c r="A22" s="84"/>
      <c r="B22" s="84"/>
      <c r="C22" s="84"/>
      <c r="D22" s="84"/>
      <c r="E22" s="84"/>
      <c r="F22" s="84"/>
      <c r="H22" s="84"/>
      <c r="I22" s="84"/>
      <c r="J22" s="84"/>
      <c r="K22" s="84"/>
      <c r="L22" s="84"/>
      <c r="M22" s="84"/>
      <c r="T22" s="84"/>
      <c r="U22" s="84"/>
      <c r="V22" s="84"/>
      <c r="W22" s="84"/>
      <c r="X22" s="84"/>
      <c r="Y22" s="84"/>
      <c r="Z22" s="84"/>
      <c r="AA22" s="84"/>
      <c r="AB22" s="84"/>
      <c r="AC22" s="84"/>
      <c r="AD22" s="84"/>
      <c r="AE22" s="84"/>
      <c r="AF22" s="84"/>
      <c r="AG22" s="85"/>
      <c r="AH22" s="85"/>
      <c r="AI22" s="85"/>
      <c r="AJ22" s="85"/>
      <c r="AK22" s="85"/>
      <c r="AL22" s="85"/>
      <c r="AM22" s="85"/>
      <c r="AN22" s="85"/>
      <c r="AO22" s="85"/>
      <c r="AP22" s="85"/>
      <c r="AQ22" s="85"/>
      <c r="AR22" s="85"/>
    </row>
    <row r="23" spans="1:50" ht="21" thickBot="1" x14ac:dyDescent="0.35">
      <c r="A23" s="5" t="s">
        <v>41</v>
      </c>
      <c r="B23" s="6"/>
      <c r="C23" s="6"/>
      <c r="D23" s="6"/>
      <c r="E23" s="84"/>
      <c r="F23" s="79" t="str">
        <f>IF(B$9=1,"Europese Niet-openbare procedure (ook Openbare procedure met preselectie) volgens Aanbestedingswet art. 2.27 (herzien in 2016)","Nationale Niet-openbare procedure (ook Openbare procedure met preselectie) volgens ARW 2016 hoofdstuk 3")</f>
        <v>Europese Niet-openbare procedure (ook Openbare procedure met preselectie) volgens Aanbestedingswet art. 2.27 (herzien in 2016)</v>
      </c>
      <c r="G23" s="80"/>
      <c r="H23" s="80"/>
      <c r="I23" s="80"/>
      <c r="J23" s="80"/>
      <c r="K23" s="80"/>
      <c r="L23" s="80"/>
      <c r="M23" s="80"/>
      <c r="N23" s="80"/>
      <c r="O23" s="80"/>
      <c r="P23" s="80"/>
      <c r="Q23" s="80"/>
      <c r="R23" s="80"/>
      <c r="S23" s="80"/>
      <c r="T23" s="80"/>
      <c r="U23" s="80"/>
      <c r="V23" s="80"/>
      <c r="W23" s="81"/>
      <c r="X23" s="80"/>
      <c r="Y23" s="80"/>
      <c r="Z23" s="80"/>
      <c r="AA23" s="80"/>
      <c r="AB23" s="80"/>
      <c r="AC23" s="80"/>
      <c r="AD23" s="82"/>
      <c r="AE23" s="80"/>
      <c r="AF23" s="80"/>
      <c r="AG23" s="82"/>
      <c r="AH23" s="82"/>
      <c r="AI23" s="82"/>
      <c r="AJ23" s="82"/>
      <c r="AK23" s="82"/>
      <c r="AL23" s="82"/>
      <c r="AM23" s="82"/>
      <c r="AN23" s="82"/>
      <c r="AO23" s="82"/>
      <c r="AP23" s="82"/>
      <c r="AQ23" s="82"/>
      <c r="AR23" s="83"/>
    </row>
    <row r="24" spans="1:50" ht="7.5" customHeight="1" x14ac:dyDescent="0.3">
      <c r="A24" s="84"/>
      <c r="B24" s="84"/>
      <c r="C24" s="84"/>
      <c r="D24" s="84"/>
      <c r="E24" s="84"/>
      <c r="F24" s="86"/>
      <c r="H24" s="84"/>
      <c r="I24" s="84"/>
      <c r="J24" s="84"/>
      <c r="K24" s="84"/>
      <c r="L24" s="84"/>
      <c r="M24" s="84"/>
      <c r="T24" s="84"/>
      <c r="U24" s="84"/>
      <c r="V24" s="84"/>
      <c r="W24" s="87"/>
      <c r="X24" s="84"/>
      <c r="Y24" s="84"/>
      <c r="Z24" s="84"/>
      <c r="AA24" s="84"/>
      <c r="AB24" s="84"/>
      <c r="AC24" s="84"/>
      <c r="AD24" s="85"/>
      <c r="AE24" s="84"/>
      <c r="AF24" s="84"/>
      <c r="AG24" s="85"/>
      <c r="AH24" s="85"/>
      <c r="AI24" s="85"/>
      <c r="AJ24" s="85"/>
      <c r="AK24" s="85"/>
      <c r="AL24" s="85"/>
      <c r="AM24" s="85"/>
      <c r="AN24" s="85"/>
      <c r="AO24" s="85"/>
      <c r="AP24" s="85"/>
      <c r="AQ24" s="85"/>
      <c r="AR24" s="85"/>
    </row>
    <row r="25" spans="1:50" ht="15" customHeight="1" x14ac:dyDescent="0.25">
      <c r="A25" s="66" t="s">
        <v>40</v>
      </c>
      <c r="B25" s="67"/>
      <c r="C25" s="68"/>
      <c r="D25" s="69"/>
      <c r="E25" s="84"/>
      <c r="F25" s="41" t="s">
        <v>35</v>
      </c>
      <c r="G25" s="42"/>
      <c r="H25" s="42"/>
      <c r="I25" s="42"/>
      <c r="J25" s="42"/>
      <c r="K25" s="42"/>
      <c r="L25" s="42"/>
      <c r="M25" s="42"/>
      <c r="N25" s="42"/>
      <c r="O25" s="42"/>
      <c r="P25" s="42"/>
      <c r="Q25" s="42"/>
      <c r="R25" s="42"/>
      <c r="S25" s="42"/>
      <c r="T25" s="42"/>
      <c r="U25" s="42"/>
      <c r="V25" s="42"/>
      <c r="W25" s="43"/>
      <c r="X25" s="84"/>
      <c r="Y25" s="38" t="s">
        <v>36</v>
      </c>
      <c r="Z25" s="39"/>
      <c r="AA25" s="39"/>
      <c r="AB25" s="39"/>
      <c r="AC25" s="39"/>
      <c r="AD25" s="50"/>
      <c r="AE25" s="39"/>
      <c r="AF25" s="39"/>
      <c r="AG25" s="50"/>
      <c r="AH25" s="50"/>
      <c r="AI25" s="50"/>
      <c r="AJ25" s="50"/>
      <c r="AK25" s="50"/>
      <c r="AL25" s="50"/>
      <c r="AM25" s="50"/>
      <c r="AN25" s="50"/>
      <c r="AO25" s="50"/>
      <c r="AP25" s="50"/>
      <c r="AQ25" s="50"/>
      <c r="AR25" s="51"/>
      <c r="AX25" s="1" t="s">
        <v>166</v>
      </c>
    </row>
    <row r="26" spans="1:50" ht="15.75" thickBot="1" x14ac:dyDescent="0.3">
      <c r="A26" s="70" t="s">
        <v>13</v>
      </c>
      <c r="B26" s="71" t="s">
        <v>14</v>
      </c>
      <c r="C26" s="72"/>
      <c r="D26" s="73"/>
      <c r="E26" s="84"/>
      <c r="F26" s="44" t="str">
        <f>IF(B$9=1,"Aw art.","ARW art.")</f>
        <v>Aw art.</v>
      </c>
      <c r="G26" s="156"/>
      <c r="H26" s="45"/>
      <c r="I26" s="45"/>
      <c r="J26" s="45"/>
      <c r="K26" s="45"/>
      <c r="L26" s="45"/>
      <c r="M26" s="45"/>
      <c r="N26" s="45"/>
      <c r="O26" s="45"/>
      <c r="P26" s="45"/>
      <c r="Q26" s="45"/>
      <c r="R26" s="45"/>
      <c r="S26" s="45"/>
      <c r="T26" s="45"/>
      <c r="U26" s="45"/>
      <c r="V26" s="45"/>
      <c r="W26" s="46"/>
      <c r="X26" s="84"/>
      <c r="Y26" s="30" t="s">
        <v>44</v>
      </c>
      <c r="Z26" s="31"/>
      <c r="AA26" s="31"/>
      <c r="AB26" s="31"/>
      <c r="AC26" s="31"/>
      <c r="AD26" s="31"/>
      <c r="AE26" s="52"/>
      <c r="AF26" s="31"/>
      <c r="AG26" s="52"/>
      <c r="AH26" s="52"/>
      <c r="AI26" s="52"/>
      <c r="AJ26" s="52"/>
      <c r="AK26" s="52"/>
      <c r="AL26" s="52"/>
      <c r="AM26" s="52"/>
      <c r="AN26" s="52"/>
      <c r="AO26" s="52"/>
      <c r="AP26" s="52"/>
      <c r="AQ26" s="52"/>
      <c r="AR26" s="32"/>
      <c r="AT26" s="1" t="s">
        <v>120</v>
      </c>
      <c r="AU26" s="1" t="s">
        <v>121</v>
      </c>
      <c r="AX26" s="183">
        <f>Q27+1</f>
        <v>42829</v>
      </c>
    </row>
    <row r="27" spans="1:50" ht="15.75" thickBot="1" x14ac:dyDescent="0.3">
      <c r="A27" s="74"/>
      <c r="B27" s="72"/>
      <c r="C27" s="72"/>
      <c r="D27" s="73"/>
      <c r="E27" s="84"/>
      <c r="F27" s="44" t="str">
        <f>IF(B$9=1,"2.27 a","3.4")</f>
        <v>2.27 a</v>
      </c>
      <c r="G27" s="156"/>
      <c r="H27" s="9" t="s">
        <v>181</v>
      </c>
      <c r="I27" s="10"/>
      <c r="J27" s="10"/>
      <c r="K27" s="10"/>
      <c r="L27" s="11"/>
      <c r="M27" s="10"/>
      <c r="N27" s="10"/>
      <c r="O27" s="10"/>
      <c r="P27" s="10"/>
      <c r="Q27" s="174" t="str">
        <f>IF(B13=1,L12,IF(B9=1,Q30-A30,Q30-B30))</f>
        <v>3-4-2017</v>
      </c>
      <c r="R27" s="178"/>
      <c r="S27" s="178"/>
      <c r="T27" s="179"/>
      <c r="U27" s="45"/>
      <c r="V27" s="45"/>
      <c r="W27" s="46"/>
      <c r="X27" s="84"/>
      <c r="Y27" s="53" t="str">
        <f>IF(B15=TRUE,"VERKORT OOK DE DOORLOOPTIJDEN VAN DE BEOORDELING!","")</f>
        <v/>
      </c>
      <c r="Z27" s="31"/>
      <c r="AA27" s="31"/>
      <c r="AB27" s="31"/>
      <c r="AC27" s="31"/>
      <c r="AD27" s="31"/>
      <c r="AE27" s="52"/>
      <c r="AF27" s="31"/>
      <c r="AG27" s="52"/>
      <c r="AH27" s="31"/>
      <c r="AI27" s="31"/>
      <c r="AJ27" s="31"/>
      <c r="AK27" s="31"/>
      <c r="AL27" s="31"/>
      <c r="AM27" s="31"/>
      <c r="AN27" s="31"/>
      <c r="AO27" s="31"/>
      <c r="AP27" s="31"/>
      <c r="AQ27" s="31"/>
      <c r="AR27" s="32"/>
      <c r="AT27" t="str">
        <f>IF(Q27&lt;&gt;"",TEXT(Q27,"dddd"),"")</f>
        <v>maandag</v>
      </c>
      <c r="AU27">
        <f>WEEKNUM(Q27,21)</f>
        <v>14</v>
      </c>
    </row>
    <row r="28" spans="1:50" x14ac:dyDescent="0.25">
      <c r="A28" s="74"/>
      <c r="B28" s="72"/>
      <c r="C28" s="72"/>
      <c r="D28" s="73"/>
      <c r="E28" s="84"/>
      <c r="F28" s="44" t="str">
        <f>IF(B$9=1,"2.53-1","")</f>
        <v>2.53-1</v>
      </c>
      <c r="G28" s="156"/>
      <c r="H28" s="7" t="s">
        <v>11</v>
      </c>
      <c r="I28" s="47"/>
      <c r="J28" s="47"/>
      <c r="K28" s="47"/>
      <c r="L28" s="47"/>
      <c r="M28" s="47"/>
      <c r="N28" s="47"/>
      <c r="O28" s="47"/>
      <c r="P28" s="47"/>
      <c r="Q28" s="47"/>
      <c r="R28" s="170">
        <f>(R29-W28)</f>
        <v>42841</v>
      </c>
      <c r="S28" s="225"/>
      <c r="T28" s="225"/>
      <c r="U28" s="45"/>
      <c r="V28" s="45"/>
      <c r="W28" s="104">
        <v>7</v>
      </c>
      <c r="X28" s="84"/>
      <c r="Y28" s="30" t="str">
        <f>IF(B15=FALSE,"Dit is geen wettelijke verplichting in de selectiefase. Zeven dagen is een redelijke termijn om de antwoorden op de vragen te formuleren","In urgente situatie de antwoorden snel formuleren, bijvoorbeeld binnen twee dagen")</f>
        <v>Dit is geen wettelijke verplichting in de selectiefase. Zeven dagen is een redelijke termijn om de antwoorden op de vragen te formuleren</v>
      </c>
      <c r="Z28" s="31"/>
      <c r="AA28" s="31"/>
      <c r="AB28" s="31"/>
      <c r="AC28" s="31"/>
      <c r="AD28" s="31"/>
      <c r="AE28" s="52"/>
      <c r="AF28" s="31"/>
      <c r="AG28" s="52"/>
      <c r="AH28" s="31"/>
      <c r="AI28" s="31"/>
      <c r="AJ28" s="31"/>
      <c r="AK28" s="31"/>
      <c r="AL28" s="31"/>
      <c r="AM28" s="31"/>
      <c r="AN28" s="31"/>
      <c r="AO28" s="31"/>
      <c r="AP28" s="31"/>
      <c r="AQ28" s="31"/>
      <c r="AR28" s="32"/>
      <c r="AT28" t="str">
        <f>IF(R28&lt;&gt;"",TEXT(R28,"dddd"),"")</f>
        <v>zondag</v>
      </c>
      <c r="AU28">
        <f>WEEKNUM(R28,21)</f>
        <v>15</v>
      </c>
    </row>
    <row r="29" spans="1:50" ht="15.75" thickBot="1" x14ac:dyDescent="0.3">
      <c r="A29" s="75">
        <f>IF(B15=FALSE,10,4)</f>
        <v>10</v>
      </c>
      <c r="B29" s="76">
        <f>IF(B15=FALSE,6,4)</f>
        <v>6</v>
      </c>
      <c r="C29" s="72"/>
      <c r="D29" s="73"/>
      <c r="E29" s="84"/>
      <c r="F29" s="44" t="str">
        <f>IF(B$9=1,"2.53-2","3.21")</f>
        <v>2.53-2</v>
      </c>
      <c r="G29" s="156"/>
      <c r="H29" s="7" t="s">
        <v>12</v>
      </c>
      <c r="I29" s="47"/>
      <c r="J29" s="47"/>
      <c r="K29" s="47"/>
      <c r="L29" s="47"/>
      <c r="M29" s="47"/>
      <c r="N29" s="47"/>
      <c r="O29" s="47"/>
      <c r="P29" s="47"/>
      <c r="Q29" s="47"/>
      <c r="R29" s="172">
        <f>IF(B9=1,Q30-(A29+W29),Q30-(B29+W29))</f>
        <v>42848</v>
      </c>
      <c r="S29" s="226"/>
      <c r="T29" s="226"/>
      <c r="U29" s="45"/>
      <c r="V29" s="45"/>
      <c r="W29" s="104">
        <v>0</v>
      </c>
      <c r="X29" s="84"/>
      <c r="Y29" s="30" t="str">
        <f>IF(B15=FALSE,IF(B9=1,"De wet schrijft geen minimumtermijn voor in de selectiefase! (2.54-1: uiterlijk 10 dagen voor uiterste datum inschrijving.)","3.21.1: uiterlijk 6 dagen voor uiterste datum verzoek deelneming"),IF(B9=1,"De wet schrijft geen minimumtermijn voor in de selectiefase! (2.54-2: bij urgentie uiterlijk 4 dagen voor uiterste datum inschrijving.)","3.21.1: bij urgentie uiterlijk 4 dagen voor uiterste datum verzoek deelneming"))</f>
        <v>De wet schrijft geen minimumtermijn voor in de selectiefase! (2.54-1: uiterlijk 10 dagen voor uiterste datum inschrijving.)</v>
      </c>
      <c r="Z29" s="31"/>
      <c r="AA29" s="31"/>
      <c r="AB29" s="31"/>
      <c r="AC29" s="31"/>
      <c r="AD29" s="31"/>
      <c r="AE29" s="52"/>
      <c r="AF29" s="31"/>
      <c r="AG29" s="52"/>
      <c r="AH29" s="31"/>
      <c r="AI29" s="31"/>
      <c r="AJ29" s="31"/>
      <c r="AK29" s="31"/>
      <c r="AL29" s="31"/>
      <c r="AM29" s="31"/>
      <c r="AN29" s="31"/>
      <c r="AO29" s="31"/>
      <c r="AP29" s="31"/>
      <c r="AQ29" s="31"/>
      <c r="AR29" s="32"/>
      <c r="AT29" t="str">
        <f>IF(R29&lt;&gt;"",TEXT(R29,"dddd"),"")</f>
        <v>zondag</v>
      </c>
      <c r="AU29">
        <f>WEEKNUM(R29,21)</f>
        <v>16</v>
      </c>
    </row>
    <row r="30" spans="1:50" ht="15.75" thickBot="1" x14ac:dyDescent="0.3">
      <c r="A30" s="75">
        <f>IF(B15=TRUE,15,30)</f>
        <v>30</v>
      </c>
      <c r="B30" s="76">
        <f>IF(B15=TRUE,10,17)</f>
        <v>17</v>
      </c>
      <c r="C30" s="72"/>
      <c r="D30" s="73"/>
      <c r="E30" s="84"/>
      <c r="F30" s="44"/>
      <c r="G30" s="156"/>
      <c r="H30" s="12" t="s">
        <v>22</v>
      </c>
      <c r="I30" s="10"/>
      <c r="J30" s="10"/>
      <c r="K30" s="10"/>
      <c r="L30" s="10"/>
      <c r="M30" s="10"/>
      <c r="N30" s="10"/>
      <c r="O30" s="10"/>
      <c r="P30" s="10"/>
      <c r="Q30" s="174">
        <f>IF(B13=1,IF(B9=1,Q27+(A30+W30),Q27+(B30+W30)),R32-W30)</f>
        <v>42858</v>
      </c>
      <c r="R30" s="175"/>
      <c r="S30" s="175"/>
      <c r="T30" s="176"/>
      <c r="U30" s="45"/>
      <c r="V30" s="45"/>
      <c r="W30" s="104">
        <v>0</v>
      </c>
      <c r="X30" s="84"/>
      <c r="Y30" s="30" t="str">
        <f>IF(B15=FALSE,IF(B9=1,"2.71-2: minimumtermijn voor indiening is 30 dagen na aankondiging","3.20.2: minimumtermijn voor indiening is 17 dagen na aankondiging"),IF(B9=1,"2.74.b: minimumtermijn voor indiening is 15 dagen na aankondiging bij urgentie","3.20.4: minimumtermijn voor indiening is 10 dagen na aankondiging bij urgentie"))</f>
        <v>2.71-2: minimumtermijn voor indiening is 30 dagen na aankondiging</v>
      </c>
      <c r="Z30" s="31"/>
      <c r="AA30" s="31"/>
      <c r="AB30" s="31"/>
      <c r="AC30" s="31"/>
      <c r="AD30" s="31"/>
      <c r="AE30" s="31"/>
      <c r="AF30" s="31"/>
      <c r="AG30" s="31"/>
      <c r="AH30" s="31"/>
      <c r="AI30" s="31"/>
      <c r="AJ30" s="31"/>
      <c r="AK30" s="31"/>
      <c r="AL30" s="31"/>
      <c r="AM30" s="31"/>
      <c r="AN30" s="31"/>
      <c r="AO30" s="31"/>
      <c r="AP30" s="31"/>
      <c r="AQ30" s="31"/>
      <c r="AR30" s="32"/>
      <c r="AT30" t="str">
        <f>IF(Q30&lt;&gt;"",TEXT(Q30,"dddd"),"")</f>
        <v>woensdag</v>
      </c>
      <c r="AU30">
        <f>WEEKNUM(Q30,21)</f>
        <v>18</v>
      </c>
    </row>
    <row r="31" spans="1:50" ht="7.5" customHeight="1" x14ac:dyDescent="0.25">
      <c r="A31" s="75"/>
      <c r="B31" s="76"/>
      <c r="C31" s="72"/>
      <c r="D31" s="73"/>
      <c r="E31" s="84"/>
      <c r="F31" s="44"/>
      <c r="G31" s="156"/>
      <c r="H31" s="8"/>
      <c r="I31" s="45"/>
      <c r="J31" s="45"/>
      <c r="K31" s="45"/>
      <c r="L31" s="45"/>
      <c r="M31" s="45"/>
      <c r="N31" s="45"/>
      <c r="O31" s="45"/>
      <c r="P31" s="45"/>
      <c r="Q31" s="45"/>
      <c r="R31" s="45"/>
      <c r="S31" s="45"/>
      <c r="T31" s="49"/>
      <c r="U31" s="45"/>
      <c r="V31" s="45"/>
      <c r="W31" s="48"/>
      <c r="X31" s="84"/>
      <c r="Y31" s="30"/>
      <c r="Z31" s="31"/>
      <c r="AA31" s="31"/>
      <c r="AB31" s="31"/>
      <c r="AC31" s="31"/>
      <c r="AD31" s="31"/>
      <c r="AE31" s="31"/>
      <c r="AF31" s="31"/>
      <c r="AG31" s="31"/>
      <c r="AH31" s="31"/>
      <c r="AI31" s="31"/>
      <c r="AJ31" s="31"/>
      <c r="AK31" s="31"/>
      <c r="AL31" s="31"/>
      <c r="AM31" s="31"/>
      <c r="AN31" s="31"/>
      <c r="AO31" s="31"/>
      <c r="AP31" s="31"/>
      <c r="AQ31" s="31"/>
      <c r="AR31" s="32"/>
      <c r="AT31" t="str">
        <f>IF(T31&lt;&gt;"",TEXT(T31,"dddd"),"")</f>
        <v/>
      </c>
    </row>
    <row r="32" spans="1:50" x14ac:dyDescent="0.25">
      <c r="A32" s="75"/>
      <c r="B32" s="76"/>
      <c r="C32" s="72"/>
      <c r="D32" s="73"/>
      <c r="E32" s="84"/>
      <c r="F32" s="44" t="str">
        <f>IF(B$9=1,"2.27 b","3.13")</f>
        <v>2.27 b</v>
      </c>
      <c r="G32" s="156"/>
      <c r="H32" s="7" t="s">
        <v>17</v>
      </c>
      <c r="I32" s="47"/>
      <c r="J32" s="47"/>
      <c r="K32" s="47"/>
      <c r="L32" s="47"/>
      <c r="M32" s="47"/>
      <c r="N32" s="47"/>
      <c r="O32" s="47"/>
      <c r="P32" s="47"/>
      <c r="Q32" s="47"/>
      <c r="R32" s="171">
        <f>IF(B13=1,Q30+W32,R33-W32)</f>
        <v>42859</v>
      </c>
      <c r="S32" s="171"/>
      <c r="T32" s="171"/>
      <c r="U32" s="45"/>
      <c r="V32" s="45"/>
      <c r="W32" s="104">
        <v>1</v>
      </c>
      <c r="X32" s="84"/>
      <c r="Y32" s="33"/>
      <c r="Z32" s="31"/>
      <c r="AA32" s="31"/>
      <c r="AB32" s="31"/>
      <c r="AC32" s="31"/>
      <c r="AD32" s="31"/>
      <c r="AE32" s="31"/>
      <c r="AF32" s="31"/>
      <c r="AG32" s="31"/>
      <c r="AH32" s="31"/>
      <c r="AI32" s="31"/>
      <c r="AJ32" s="31"/>
      <c r="AK32" s="31"/>
      <c r="AL32" s="31"/>
      <c r="AM32" s="31"/>
      <c r="AN32" s="31"/>
      <c r="AO32" s="31"/>
      <c r="AP32" s="31"/>
      <c r="AQ32" s="31"/>
      <c r="AR32" s="32"/>
      <c r="AT32" t="str">
        <f>IF(R32&lt;&gt;"",TEXT(R32,"dddd"),"")</f>
        <v>donderdag</v>
      </c>
      <c r="AU32">
        <f>WEEKNUM(R32,21)</f>
        <v>18</v>
      </c>
    </row>
    <row r="33" spans="1:47" x14ac:dyDescent="0.25">
      <c r="A33" s="75"/>
      <c r="B33" s="76"/>
      <c r="C33" s="72"/>
      <c r="D33" s="73"/>
      <c r="E33" s="84"/>
      <c r="F33" s="44" t="str">
        <f>IF(B$9=1,"2.27 c","3.15 tot en")</f>
        <v>2.27 c</v>
      </c>
      <c r="G33" s="156"/>
      <c r="H33" s="7" t="s">
        <v>19</v>
      </c>
      <c r="I33" s="47"/>
      <c r="J33" s="47"/>
      <c r="K33" s="47"/>
      <c r="L33" s="47"/>
      <c r="M33" s="47"/>
      <c r="N33" s="47"/>
      <c r="O33" s="47"/>
      <c r="P33" s="47"/>
      <c r="Q33" s="47"/>
      <c r="R33" s="171">
        <f>IF(B13=1,R32+W33,R34-W33)</f>
        <v>42862</v>
      </c>
      <c r="S33" s="171"/>
      <c r="T33" s="171"/>
      <c r="U33" s="45"/>
      <c r="V33" s="45"/>
      <c r="W33" s="104">
        <v>3</v>
      </c>
      <c r="X33" s="84"/>
      <c r="Y33" s="33"/>
      <c r="Z33" s="31"/>
      <c r="AA33" s="31"/>
      <c r="AB33" s="31"/>
      <c r="AC33" s="31"/>
      <c r="AD33" s="31"/>
      <c r="AE33" s="31"/>
      <c r="AF33" s="31"/>
      <c r="AG33" s="31"/>
      <c r="AH33" s="31"/>
      <c r="AI33" s="31"/>
      <c r="AJ33" s="31"/>
      <c r="AK33" s="31"/>
      <c r="AL33" s="31"/>
      <c r="AM33" s="31"/>
      <c r="AN33" s="31"/>
      <c r="AO33" s="31"/>
      <c r="AP33" s="31"/>
      <c r="AQ33" s="31"/>
      <c r="AR33" s="32"/>
      <c r="AT33" t="str">
        <f>IF(R33&lt;&gt;"",TEXT(R33,"dddd"),"")</f>
        <v>zondag</v>
      </c>
      <c r="AU33">
        <f>WEEKNUM(R33,21)</f>
        <v>18</v>
      </c>
    </row>
    <row r="34" spans="1:47" x14ac:dyDescent="0.25">
      <c r="A34" s="75"/>
      <c r="B34" s="76"/>
      <c r="C34" s="72"/>
      <c r="D34" s="73"/>
      <c r="E34" s="84"/>
      <c r="F34" s="44" t="str">
        <f>IF(B$9=1,"2.27 d","met 3.19")</f>
        <v>2.27 d</v>
      </c>
      <c r="G34" s="156"/>
      <c r="H34" s="7" t="s">
        <v>18</v>
      </c>
      <c r="I34" s="47"/>
      <c r="J34" s="47"/>
      <c r="K34" s="47"/>
      <c r="L34" s="47"/>
      <c r="M34" s="47"/>
      <c r="N34" s="47"/>
      <c r="O34" s="47"/>
      <c r="P34" s="47"/>
      <c r="Q34" s="47"/>
      <c r="R34" s="171">
        <f>IF(B13=1,R33+W34,R35-W34)</f>
        <v>42869</v>
      </c>
      <c r="S34" s="171"/>
      <c r="T34" s="171"/>
      <c r="U34" s="45"/>
      <c r="V34" s="45"/>
      <c r="W34" s="104">
        <v>7</v>
      </c>
      <c r="X34" s="84"/>
      <c r="Y34" s="33"/>
      <c r="Z34" s="31"/>
      <c r="AA34" s="31"/>
      <c r="AB34" s="31"/>
      <c r="AC34" s="31"/>
      <c r="AD34" s="31"/>
      <c r="AE34" s="31"/>
      <c r="AF34" s="31"/>
      <c r="AG34" s="31"/>
      <c r="AH34" s="31"/>
      <c r="AI34" s="31"/>
      <c r="AJ34" s="31"/>
      <c r="AK34" s="31"/>
      <c r="AL34" s="31"/>
      <c r="AM34" s="31"/>
      <c r="AN34" s="31"/>
      <c r="AO34" s="31"/>
      <c r="AP34" s="31"/>
      <c r="AQ34" s="31"/>
      <c r="AR34" s="32"/>
      <c r="AT34" t="str">
        <f>IF(R34&lt;&gt;"",TEXT(R34,"dddd"),"")</f>
        <v>zondag</v>
      </c>
      <c r="AU34">
        <f>WEEKNUM(R34,21)</f>
        <v>19</v>
      </c>
    </row>
    <row r="35" spans="1:47" x14ac:dyDescent="0.25">
      <c r="A35" s="75"/>
      <c r="B35" s="76"/>
      <c r="C35" s="72"/>
      <c r="D35" s="73"/>
      <c r="E35" s="84"/>
      <c r="F35" s="44"/>
      <c r="G35" s="156"/>
      <c r="H35" s="7" t="s">
        <v>28</v>
      </c>
      <c r="I35" s="47"/>
      <c r="J35" s="47"/>
      <c r="K35" s="47"/>
      <c r="L35" s="47"/>
      <c r="M35" s="47"/>
      <c r="N35" s="47"/>
      <c r="O35" s="47"/>
      <c r="P35" s="47"/>
      <c r="Q35" s="47"/>
      <c r="R35" s="171">
        <f>IF(B13=1,R34+W35,IF(B19=FALSE,Q38-W35,R36-W35))</f>
        <v>42871</v>
      </c>
      <c r="S35" s="171"/>
      <c r="T35" s="171"/>
      <c r="U35" s="45"/>
      <c r="V35" s="45"/>
      <c r="W35" s="104">
        <v>2</v>
      </c>
      <c r="X35" s="84"/>
      <c r="Y35" s="30" t="s">
        <v>45</v>
      </c>
      <c r="Z35" s="31"/>
      <c r="AA35" s="31"/>
      <c r="AB35" s="31"/>
      <c r="AC35" s="31"/>
      <c r="AD35" s="31"/>
      <c r="AE35" s="31"/>
      <c r="AF35" s="31"/>
      <c r="AG35" s="31"/>
      <c r="AH35" s="31"/>
      <c r="AI35" s="31"/>
      <c r="AJ35" s="31"/>
      <c r="AK35" s="31"/>
      <c r="AL35" s="31"/>
      <c r="AM35" s="31"/>
      <c r="AN35" s="31"/>
      <c r="AO35" s="31"/>
      <c r="AP35" s="31"/>
      <c r="AQ35" s="31"/>
      <c r="AR35" s="32"/>
      <c r="AT35" t="str">
        <f>IF(R35&lt;&gt;"",TEXT(R35,"dddd"),"")</f>
        <v>dinsdag</v>
      </c>
      <c r="AU35">
        <f>WEEKNUM(R35,21)</f>
        <v>20</v>
      </c>
    </row>
    <row r="36" spans="1:47" x14ac:dyDescent="0.25">
      <c r="A36" s="75"/>
      <c r="B36" s="76"/>
      <c r="C36" s="72"/>
      <c r="D36" s="73"/>
      <c r="E36" s="84"/>
      <c r="F36" s="44"/>
      <c r="G36" s="156"/>
      <c r="H36" s="177" t="str">
        <f>IF(B19=TRUE,"mededeling afwijzing en uitsluiting","")</f>
        <v>mededeling afwijzing en uitsluiting</v>
      </c>
      <c r="I36" s="47"/>
      <c r="J36" s="47"/>
      <c r="K36" s="47"/>
      <c r="L36" s="47"/>
      <c r="M36" s="47"/>
      <c r="N36" s="47"/>
      <c r="O36" s="47"/>
      <c r="P36" s="47"/>
      <c r="Q36" s="47"/>
      <c r="R36" s="171">
        <f>IF(B19=FALSE," ",IF(B13=1,R35+W36,IF(B9=1,R37-A37-W36,R37-B37-W36)))</f>
        <v>42873</v>
      </c>
      <c r="S36" s="171"/>
      <c r="T36" s="171"/>
      <c r="U36" s="45"/>
      <c r="V36" s="45"/>
      <c r="W36" s="137">
        <v>2</v>
      </c>
      <c r="X36" s="84"/>
      <c r="Y36" s="30" t="str">
        <f>IF(B19=TRUE,"extra tussenstap als gevolg van vrijwillige keuze voor opschortende termijn","")</f>
        <v>extra tussenstap als gevolg van vrijwillige keuze voor opschortende termijn</v>
      </c>
      <c r="Z36" s="31"/>
      <c r="AA36" s="31"/>
      <c r="AB36" s="31"/>
      <c r="AC36" s="31"/>
      <c r="AD36" s="31"/>
      <c r="AE36" s="31"/>
      <c r="AF36" s="31"/>
      <c r="AG36" s="31"/>
      <c r="AH36" s="31"/>
      <c r="AI36" s="31"/>
      <c r="AJ36" s="31"/>
      <c r="AK36" s="31"/>
      <c r="AL36" s="31"/>
      <c r="AM36" s="31"/>
      <c r="AN36" s="31"/>
      <c r="AO36" s="31"/>
      <c r="AP36" s="31"/>
      <c r="AQ36" s="31"/>
      <c r="AR36" s="32"/>
    </row>
    <row r="37" spans="1:47" ht="15" customHeight="1" thickBot="1" x14ac:dyDescent="0.3">
      <c r="A37" s="75">
        <v>20</v>
      </c>
      <c r="B37" s="76">
        <v>7</v>
      </c>
      <c r="C37" s="72"/>
      <c r="D37" s="73"/>
      <c r="E37" s="84"/>
      <c r="F37" s="44" t="str">
        <f>IF(B$9=2,"3.23.3","")</f>
        <v/>
      </c>
      <c r="G37" s="156"/>
      <c r="H37" s="7" t="str">
        <f>IF(B19=TRUE,"einde bezwaartermijn met opschortende werking","")</f>
        <v>einde bezwaartermijn met opschortende werking</v>
      </c>
      <c r="I37" s="47"/>
      <c r="J37" s="47"/>
      <c r="K37" s="47"/>
      <c r="L37" s="47"/>
      <c r="M37" s="47"/>
      <c r="N37" s="47"/>
      <c r="O37" s="47"/>
      <c r="P37" s="47"/>
      <c r="Q37" s="47"/>
      <c r="R37" s="172">
        <f>IF(B19=FALSE," ",IF(B13=1,IF(B9=1,R36+A37+W37,R36+B37+W37),Q38-W37))</f>
        <v>42893</v>
      </c>
      <c r="S37" s="172"/>
      <c r="T37" s="172"/>
      <c r="U37" s="45"/>
      <c r="V37" s="45"/>
      <c r="W37" s="137">
        <v>0</v>
      </c>
      <c r="X37" s="84"/>
      <c r="Y37" s="30" t="str">
        <f>IF(B19=TRUE,IF(B9=1,"Vrijwillige keuze: uitgesloten en afgewezen gegadigden kunnen binnen 20 dagen na verzending bezwaar maken","3.23.3: uitgesloten en afgewezen gegadigden kunnen binnen 7 dagen na verzending bezwaar maken"),"")</f>
        <v>Vrijwillige keuze: uitgesloten en afgewezen gegadigden kunnen binnen 20 dagen na verzending bezwaar maken</v>
      </c>
      <c r="Z37" s="31"/>
      <c r="AA37" s="31"/>
      <c r="AB37" s="31"/>
      <c r="AC37" s="31"/>
      <c r="AD37" s="31"/>
      <c r="AE37" s="31"/>
      <c r="AF37" s="31"/>
      <c r="AG37" s="31"/>
      <c r="AH37" s="31"/>
      <c r="AI37" s="31"/>
      <c r="AJ37" s="31"/>
      <c r="AK37" s="31"/>
      <c r="AL37" s="31"/>
      <c r="AM37" s="31"/>
      <c r="AN37" s="31"/>
      <c r="AO37" s="31"/>
      <c r="AP37" s="31"/>
      <c r="AQ37" s="31"/>
      <c r="AR37" s="32"/>
      <c r="AT37" t="str">
        <f>IF(R37&lt;&gt;"",TEXT(R37,"dddd"),"")</f>
        <v>woensdag</v>
      </c>
      <c r="AU37">
        <f>WEEKNUM(R37,21)</f>
        <v>23</v>
      </c>
    </row>
    <row r="38" spans="1:47" ht="15.75" thickBot="1" x14ac:dyDescent="0.3">
      <c r="A38" s="75"/>
      <c r="B38" s="76"/>
      <c r="C38" s="72"/>
      <c r="D38" s="73"/>
      <c r="E38" s="84"/>
      <c r="F38" s="44" t="str">
        <f>IF(B$9=1,"2.27 e","3.23")</f>
        <v>2.27 e</v>
      </c>
      <c r="G38" s="156"/>
      <c r="H38" s="12" t="str">
        <f>IF(B19=FALSE,"Verzenden uitnodiging inschrijving en mededeling afwijzing","Verzenden uitnodiging tot inschrijving")</f>
        <v>Verzenden uitnodiging tot inschrijving</v>
      </c>
      <c r="I38" s="10"/>
      <c r="J38" s="10"/>
      <c r="K38" s="10"/>
      <c r="L38" s="10"/>
      <c r="M38" s="10"/>
      <c r="N38" s="10"/>
      <c r="O38" s="10"/>
      <c r="P38" s="10"/>
      <c r="Q38" s="174">
        <f>IF(B19=TRUE,IF(B13=1,R37+W38,IF(B21=FALSE,IF(B9=1,Q44-(A44+W38),Q44-(B44+W38)),IF(B9=1,R41-(A41+W38),R41-(B41+W38)))),IF(B13=1,R35+W38,IF(B21=FALSE,IF(B9=1,Q44-(A44+W38),Q44-(B44+W38)),IF(B9=1,R41-(A41+W38),R41-(B41+W38)))))</f>
        <v>42893</v>
      </c>
      <c r="R38" s="175"/>
      <c r="S38" s="175"/>
      <c r="T38" s="176"/>
      <c r="U38" s="45"/>
      <c r="V38" s="45"/>
      <c r="W38" s="104">
        <v>0</v>
      </c>
      <c r="X38" s="84"/>
      <c r="Y38" s="30"/>
      <c r="Z38" s="31"/>
      <c r="AA38" s="31"/>
      <c r="AB38" s="31"/>
      <c r="AC38" s="31"/>
      <c r="AD38" s="31"/>
      <c r="AE38" s="31"/>
      <c r="AF38" s="31"/>
      <c r="AG38" s="31"/>
      <c r="AH38" s="31"/>
      <c r="AI38" s="31"/>
      <c r="AJ38" s="31"/>
      <c r="AK38" s="31"/>
      <c r="AL38" s="31"/>
      <c r="AM38" s="31"/>
      <c r="AN38" s="31"/>
      <c r="AO38" s="31"/>
      <c r="AP38" s="31"/>
      <c r="AQ38" s="31"/>
      <c r="AR38" s="32"/>
      <c r="AT38" t="str">
        <f>IF(Q38&lt;&gt;"",TEXT(Q38,"dddd"),"")</f>
        <v>woensdag</v>
      </c>
      <c r="AU38">
        <f>WEEKNUM(Q38,21)</f>
        <v>23</v>
      </c>
    </row>
    <row r="39" spans="1:47" ht="6.75" customHeight="1" x14ac:dyDescent="0.25">
      <c r="A39" s="75"/>
      <c r="B39" s="76"/>
      <c r="C39" s="72"/>
      <c r="D39" s="73"/>
      <c r="E39" s="84"/>
      <c r="F39" s="44"/>
      <c r="G39" s="156"/>
      <c r="H39" s="7"/>
      <c r="I39" s="47"/>
      <c r="J39" s="47"/>
      <c r="K39" s="47"/>
      <c r="L39" s="47"/>
      <c r="M39" s="47"/>
      <c r="N39" s="47"/>
      <c r="O39" s="47"/>
      <c r="P39" s="47"/>
      <c r="Q39" s="47"/>
      <c r="R39" s="47"/>
      <c r="S39" s="47"/>
      <c r="T39" s="123"/>
      <c r="U39" s="45"/>
      <c r="V39" s="45"/>
      <c r="W39" s="48"/>
      <c r="X39" s="84"/>
      <c r="Y39" s="30"/>
      <c r="Z39" s="31"/>
      <c r="AA39" s="31"/>
      <c r="AB39" s="31"/>
      <c r="AC39" s="31"/>
      <c r="AD39" s="31"/>
      <c r="AE39" s="31"/>
      <c r="AF39" s="31"/>
      <c r="AG39" s="31"/>
      <c r="AH39" s="31"/>
      <c r="AI39" s="31"/>
      <c r="AJ39" s="31"/>
      <c r="AK39" s="31"/>
      <c r="AL39" s="31"/>
      <c r="AM39" s="31"/>
      <c r="AN39" s="31"/>
      <c r="AO39" s="31"/>
      <c r="AP39" s="31"/>
      <c r="AQ39" s="31"/>
      <c r="AR39" s="32"/>
    </row>
    <row r="40" spans="1:47" ht="15" customHeight="1" x14ac:dyDescent="0.25">
      <c r="A40" s="75"/>
      <c r="B40" s="76"/>
      <c r="C40" s="72"/>
      <c r="D40" s="73"/>
      <c r="E40" s="84"/>
      <c r="F40" s="44"/>
      <c r="G40" s="156"/>
      <c r="H40" s="7" t="str">
        <f>IF(B9=2,IF(B19=FALSE,"einde bezwaartermijn zonder opschortende werking",""),"")</f>
        <v/>
      </c>
      <c r="I40" s="47"/>
      <c r="J40" s="47"/>
      <c r="K40" s="47"/>
      <c r="L40" s="47"/>
      <c r="M40" s="47"/>
      <c r="N40" s="47"/>
      <c r="O40" s="47"/>
      <c r="P40" s="47"/>
      <c r="Q40" s="47"/>
      <c r="R40" s="171" t="str">
        <f>IF(B9=2,IF(B19=FALSE,Q38+B37,"")," ")</f>
        <v xml:space="preserve"> </v>
      </c>
      <c r="S40" s="171"/>
      <c r="T40" s="171"/>
      <c r="U40" s="45"/>
      <c r="V40" s="45"/>
      <c r="W40" s="138"/>
      <c r="X40" s="84"/>
      <c r="Y40" s="30" t="str">
        <f>IF(B9=2,IF(B19=FALSE,"3.23.3: uitgesloten en afgewezen gegadigden kunnen binnen 7 dagen na verzending bezwaar maken, echter zonder opschortende termijn",""),"")</f>
        <v/>
      </c>
      <c r="Z40" s="31"/>
      <c r="AA40" s="31"/>
      <c r="AB40" s="31"/>
      <c r="AC40" s="31"/>
      <c r="AD40" s="31"/>
      <c r="AE40" s="31"/>
      <c r="AF40" s="31"/>
      <c r="AG40" s="31"/>
      <c r="AH40" s="31"/>
      <c r="AI40" s="31"/>
      <c r="AJ40" s="31"/>
      <c r="AK40" s="31"/>
      <c r="AL40" s="31"/>
      <c r="AM40" s="31"/>
      <c r="AN40" s="31"/>
      <c r="AO40" s="31"/>
      <c r="AP40" s="31"/>
      <c r="AQ40" s="31"/>
      <c r="AR40" s="32"/>
    </row>
    <row r="41" spans="1:47" x14ac:dyDescent="0.25">
      <c r="A41" s="75">
        <v>7</v>
      </c>
      <c r="B41" s="76">
        <v>4</v>
      </c>
      <c r="C41" s="72"/>
      <c r="D41" s="73"/>
      <c r="E41" s="84"/>
      <c r="F41" s="44"/>
      <c r="G41" s="156"/>
      <c r="H41" s="7" t="str">
        <f>IF(B20=TRUE,IF(B21=TRUE,"aanwijzing of schouw essentieel","aanwijzing of schouw"),"")</f>
        <v/>
      </c>
      <c r="I41" s="47"/>
      <c r="J41" s="47"/>
      <c r="K41" s="47"/>
      <c r="L41" s="47"/>
      <c r="M41" s="47"/>
      <c r="N41" s="47"/>
      <c r="O41" s="47"/>
      <c r="P41" s="47"/>
      <c r="Q41" s="47"/>
      <c r="R41" s="171" t="str">
        <f>IF(B20=TRUE,IF(B13=1,IF(B9=1,Q38+A41+W41,Q38+B41+W41),IF(B21=FALSE,IF(B9=1,Q44-(A41+W41),Q44-(B41+W41)),IF(B9=1,Q44-(A44+W41),Q44-(B44+W41))))," ")</f>
        <v xml:space="preserve"> </v>
      </c>
      <c r="S41" s="171"/>
      <c r="T41" s="171"/>
      <c r="U41" s="45"/>
      <c r="V41" s="45"/>
      <c r="W41" s="104">
        <v>0</v>
      </c>
      <c r="X41" s="84"/>
      <c r="Y41" s="30" t="str">
        <f>IF(B21=TRUE,IF(B9=1,"art. 2.73: inschrijvingstermijn wordt gerekend vanaf schouw opdat alle ondernemers kennis kunnen nemen van alle nodige informatie","3.25.5: inschrijvingstermijn wordt gerekend vanaf schouw opdat alle ondernemers kennis kunnen nemen van alle nodige informatie"),"")</f>
        <v/>
      </c>
      <c r="Z41" s="31"/>
      <c r="AA41" s="31"/>
      <c r="AB41" s="31"/>
      <c r="AC41" s="31"/>
      <c r="AD41" s="31"/>
      <c r="AE41" s="31"/>
      <c r="AF41" s="31"/>
      <c r="AG41" s="31"/>
      <c r="AH41" s="31"/>
      <c r="AI41" s="31"/>
      <c r="AJ41" s="31"/>
      <c r="AK41" s="31"/>
      <c r="AL41" s="31"/>
      <c r="AM41" s="31"/>
      <c r="AN41" s="31"/>
      <c r="AO41" s="31"/>
      <c r="AP41" s="31"/>
      <c r="AQ41" s="31"/>
      <c r="AR41" s="32"/>
      <c r="AT41" t="str">
        <f>IF(R41&lt;&gt;"",TEXT(R41,"dddd"),"")</f>
        <v xml:space="preserve"> </v>
      </c>
      <c r="AU41" t="e">
        <f>WEEKNUM(R41,21)</f>
        <v>#VALUE!</v>
      </c>
    </row>
    <row r="42" spans="1:47" x14ac:dyDescent="0.25">
      <c r="A42" s="75"/>
      <c r="B42" s="76"/>
      <c r="C42" s="72"/>
      <c r="D42" s="73"/>
      <c r="E42" s="84"/>
      <c r="F42" s="44" t="str">
        <f>IF(B$9=1,"2.53-1","3.25")</f>
        <v>2.53-1</v>
      </c>
      <c r="G42" s="156"/>
      <c r="H42" s="7" t="s">
        <v>11</v>
      </c>
      <c r="I42" s="47"/>
      <c r="J42" s="47"/>
      <c r="K42" s="47"/>
      <c r="L42" s="47"/>
      <c r="M42" s="47"/>
      <c r="N42" s="47"/>
      <c r="O42" s="47"/>
      <c r="P42" s="47"/>
      <c r="Q42" s="47"/>
      <c r="R42" s="171">
        <f>R43-W42</f>
        <v>42911</v>
      </c>
      <c r="S42" s="171"/>
      <c r="T42" s="171"/>
      <c r="U42" s="45"/>
      <c r="V42" s="45"/>
      <c r="W42" s="104">
        <v>7</v>
      </c>
      <c r="X42" s="84"/>
      <c r="Y42" s="30" t="str">
        <f>IF(B15=FALSE,"Zeven dagen is doorgaans een redelijke termijn om de antwoorden op de vragen te formuleren, mits de procedure dit toelaat","In urgente situatie de antwoorden snel formuleren, bijvoorbeeld binnen twee dagen")</f>
        <v>Zeven dagen is doorgaans een redelijke termijn om de antwoorden op de vragen te formuleren, mits de procedure dit toelaat</v>
      </c>
      <c r="Z42" s="31"/>
      <c r="AA42" s="31"/>
      <c r="AB42" s="31"/>
      <c r="AC42" s="31"/>
      <c r="AD42" s="31"/>
      <c r="AE42" s="31"/>
      <c r="AF42" s="31"/>
      <c r="AG42" s="31"/>
      <c r="AH42" s="31"/>
      <c r="AI42" s="31"/>
      <c r="AJ42" s="31"/>
      <c r="AK42" s="31"/>
      <c r="AL42" s="31"/>
      <c r="AM42" s="31"/>
      <c r="AN42" s="31"/>
      <c r="AO42" s="31"/>
      <c r="AP42" s="31"/>
      <c r="AQ42" s="31"/>
      <c r="AR42" s="32"/>
      <c r="AT42" t="str">
        <f>IF(R42&lt;&gt;"",TEXT(R42,"dddd"),"")</f>
        <v>zondag</v>
      </c>
      <c r="AU42">
        <f>WEEKNUM(R42,21)</f>
        <v>25</v>
      </c>
    </row>
    <row r="43" spans="1:47" ht="15.75" thickBot="1" x14ac:dyDescent="0.3">
      <c r="A43" s="75">
        <f>IF(B15=FALSE,10,4)</f>
        <v>10</v>
      </c>
      <c r="B43" s="76">
        <f>IF(B15=FALSE,6,4)</f>
        <v>6</v>
      </c>
      <c r="C43" s="72"/>
      <c r="D43" s="73"/>
      <c r="E43" s="84"/>
      <c r="F43" s="44" t="str">
        <f>IF(B$9=1,"2.53-2","3.25")</f>
        <v>2.53-2</v>
      </c>
      <c r="G43" s="156"/>
      <c r="H43" s="7" t="s">
        <v>12</v>
      </c>
      <c r="I43" s="47"/>
      <c r="J43" s="47"/>
      <c r="K43" s="47"/>
      <c r="L43" s="47"/>
      <c r="M43" s="47"/>
      <c r="N43" s="47"/>
      <c r="O43" s="47"/>
      <c r="P43" s="47"/>
      <c r="Q43" s="47"/>
      <c r="R43" s="172">
        <f>IF(B9=1,Q44-(A43+W43),Q44-(B43+W43))</f>
        <v>42918</v>
      </c>
      <c r="S43" s="172"/>
      <c r="T43" s="172"/>
      <c r="U43" s="45"/>
      <c r="V43" s="45"/>
      <c r="W43" s="104">
        <v>0</v>
      </c>
      <c r="X43" s="84"/>
      <c r="Y43" s="30" t="str">
        <f>IF(B15=FALSE,IF(B9=1,"2.54-1: uiterlijk 10 dagen voor uiterste datum inschrijving","3.25.2: uiterlijk 6 dagen voor uiterste datum inschrijving"),IF(B9=1,"2.54-2: bij urgentie uiterlijk 4 dagen voor uiterste datum inschrijving","3.25.2: bij urgentie uiterlijk 4 dagen voor uiterste datum inschrijving"))</f>
        <v>2.54-1: uiterlijk 10 dagen voor uiterste datum inschrijving</v>
      </c>
      <c r="Z43" s="31"/>
      <c r="AA43" s="31"/>
      <c r="AB43" s="31"/>
      <c r="AC43" s="31"/>
      <c r="AD43" s="31"/>
      <c r="AE43" s="31"/>
      <c r="AF43" s="31"/>
      <c r="AG43" s="31"/>
      <c r="AH43" s="31"/>
      <c r="AI43" s="31"/>
      <c r="AJ43" s="31"/>
      <c r="AK43" s="31"/>
      <c r="AL43" s="31"/>
      <c r="AM43" s="31"/>
      <c r="AN43" s="31"/>
      <c r="AO43" s="31"/>
      <c r="AP43" s="31"/>
      <c r="AQ43" s="31"/>
      <c r="AR43" s="32"/>
      <c r="AT43" t="str">
        <f>IF(R43&lt;&gt;"",TEXT(R43,"dddd"),"")</f>
        <v>zondag</v>
      </c>
      <c r="AU43">
        <f>WEEKNUM(R43,21)</f>
        <v>26</v>
      </c>
    </row>
    <row r="44" spans="1:47" ht="15.75" thickBot="1" x14ac:dyDescent="0.3">
      <c r="A44" s="77">
        <f>IF(B15=TRUE,10,SUM(C16:C18))</f>
        <v>35</v>
      </c>
      <c r="B44" s="78">
        <f>IF(B15=TRUE,10,SUM(D16:D18))</f>
        <v>16</v>
      </c>
      <c r="C44" s="72"/>
      <c r="D44" s="73"/>
      <c r="E44" s="84"/>
      <c r="F44" s="44"/>
      <c r="G44" s="156"/>
      <c r="H44" s="12" t="s">
        <v>23</v>
      </c>
      <c r="I44" s="10"/>
      <c r="J44" s="10"/>
      <c r="K44" s="10"/>
      <c r="L44" s="10"/>
      <c r="M44" s="10"/>
      <c r="N44" s="10"/>
      <c r="O44" s="10"/>
      <c r="P44" s="10"/>
      <c r="Q44" s="174">
        <f>IF(B13=1,IF(B9=1,IF(B21=TRUE,R41+A44+W44,Q38+A44+W44),IF(B21=TRUE,R41+B44+W44,Q38+B44+W44)),R47-W44)</f>
        <v>42928</v>
      </c>
      <c r="R44" s="175"/>
      <c r="S44" s="175"/>
      <c r="T44" s="176"/>
      <c r="U44" s="45"/>
      <c r="V44" s="45"/>
      <c r="W44" s="104">
        <v>0</v>
      </c>
      <c r="X44" s="84"/>
      <c r="Y44" s="30" t="str">
        <f>IF(B15=FALSE,IF(B9=1,"2.71-4: minimumtermijn 40 dagen na uitnodiging, excl. verkortingsmogelijkheid","3.24.2: minimumtermijn 21 dagen na uitnodiging, excl. verkortingsmogelijkheid"),IF(B9=1,"2.74.c: minimumtermijn 10 dagen na uitnodiging","3.15.6: minimumtermijn 10 dagen na uitnodiging"))</f>
        <v>2.71-4: minimumtermijn 40 dagen na uitnodiging, excl. verkortingsmogelijkheid</v>
      </c>
      <c r="Z44" s="31"/>
      <c r="AA44" s="31"/>
      <c r="AB44" s="31"/>
      <c r="AC44" s="31"/>
      <c r="AD44" s="31"/>
      <c r="AE44" s="31"/>
      <c r="AF44" s="31"/>
      <c r="AG44" s="31"/>
      <c r="AH44" s="31"/>
      <c r="AI44" s="31"/>
      <c r="AJ44" s="31"/>
      <c r="AK44" s="31"/>
      <c r="AL44" s="31"/>
      <c r="AM44" s="31"/>
      <c r="AN44" s="31"/>
      <c r="AO44" s="31"/>
      <c r="AP44" s="31"/>
      <c r="AQ44" s="31"/>
      <c r="AR44" s="32"/>
      <c r="AT44" t="str">
        <f>IF(Q44&lt;&gt;"",TEXT(Q44,"dddd"),"")</f>
        <v>woensdag</v>
      </c>
      <c r="AU44">
        <f>WEEKNUM(Q44,21)</f>
        <v>28</v>
      </c>
    </row>
    <row r="45" spans="1:47" ht="7.5" customHeight="1" x14ac:dyDescent="0.25">
      <c r="A45" s="77"/>
      <c r="B45" s="78"/>
      <c r="C45" s="72"/>
      <c r="D45" s="73"/>
      <c r="E45" s="84"/>
      <c r="F45" s="44"/>
      <c r="G45" s="156"/>
      <c r="H45" s="8"/>
      <c r="I45" s="45"/>
      <c r="J45" s="45"/>
      <c r="K45" s="45"/>
      <c r="L45" s="45"/>
      <c r="M45" s="45"/>
      <c r="N45" s="45"/>
      <c r="O45" s="45"/>
      <c r="P45" s="45"/>
      <c r="Q45" s="45"/>
      <c r="R45" s="45"/>
      <c r="S45" s="45"/>
      <c r="T45" s="49"/>
      <c r="U45" s="45"/>
      <c r="V45" s="45"/>
      <c r="W45" s="48"/>
      <c r="X45" s="84"/>
      <c r="Y45" s="30"/>
      <c r="Z45" s="31"/>
      <c r="AA45" s="31"/>
      <c r="AB45" s="31"/>
      <c r="AC45" s="31"/>
      <c r="AD45" s="31"/>
      <c r="AE45" s="31"/>
      <c r="AF45" s="31"/>
      <c r="AG45" s="31"/>
      <c r="AH45" s="31"/>
      <c r="AI45" s="31"/>
      <c r="AJ45" s="31"/>
      <c r="AK45" s="31"/>
      <c r="AL45" s="31"/>
      <c r="AM45" s="31"/>
      <c r="AN45" s="31"/>
      <c r="AO45" s="31"/>
      <c r="AP45" s="31"/>
      <c r="AQ45" s="31"/>
      <c r="AR45" s="32"/>
      <c r="AT45" t="str">
        <f>IF(T45&lt;&gt;"",TEXT(T45,"dddd"),"")</f>
        <v/>
      </c>
    </row>
    <row r="46" spans="1:47" x14ac:dyDescent="0.25">
      <c r="A46" s="75"/>
      <c r="B46" s="76"/>
      <c r="C46" s="72"/>
      <c r="D46" s="73"/>
      <c r="E46" s="84"/>
      <c r="F46" s="44" t="str">
        <f>IF(B$9=1,"","3.34.2")</f>
        <v/>
      </c>
      <c r="G46" s="156"/>
      <c r="H46" s="7" t="str">
        <f>IF(B9=1," ","verstrekken proces-verbaal van opening")</f>
        <v xml:space="preserve"> </v>
      </c>
      <c r="I46" s="47"/>
      <c r="J46" s="47"/>
      <c r="K46" s="47"/>
      <c r="L46" s="47"/>
      <c r="M46" s="47"/>
      <c r="N46" s="47"/>
      <c r="O46" s="47"/>
      <c r="P46" s="47"/>
      <c r="Q46" s="47"/>
      <c r="R46" s="171" t="str">
        <f>IF(B9=1,"",Q44+2)</f>
        <v/>
      </c>
      <c r="S46" s="171"/>
      <c r="T46" s="171"/>
      <c r="U46" s="45"/>
      <c r="V46" s="45"/>
      <c r="W46" s="104"/>
      <c r="X46" s="84"/>
      <c r="Y46" s="30" t="str">
        <f>IF(B9=1,"","3.34.2: PV van opening uiterlijk 2 werkdagen na opening inschrijvingen verstrekken")</f>
        <v/>
      </c>
      <c r="Z46" s="31"/>
      <c r="AA46" s="31"/>
      <c r="AB46" s="31"/>
      <c r="AC46" s="31"/>
      <c r="AD46" s="31"/>
      <c r="AE46" s="31"/>
      <c r="AF46" s="31"/>
      <c r="AG46" s="31"/>
      <c r="AH46" s="31"/>
      <c r="AI46" s="31"/>
      <c r="AJ46" s="31"/>
      <c r="AK46" s="31"/>
      <c r="AL46" s="31"/>
      <c r="AM46" s="31"/>
      <c r="AN46" s="31"/>
      <c r="AO46" s="31"/>
      <c r="AP46" s="31"/>
      <c r="AQ46" s="31"/>
      <c r="AR46" s="32"/>
      <c r="AT46" t="str">
        <f>IF(R46&lt;&gt;"",TEXT(R46,"dddd"),"")</f>
        <v/>
      </c>
      <c r="AU46" t="e">
        <f>WEEKNUM(R46,21)</f>
        <v>#VALUE!</v>
      </c>
    </row>
    <row r="47" spans="1:47" x14ac:dyDescent="0.25">
      <c r="A47" s="75"/>
      <c r="B47" s="76"/>
      <c r="C47" s="72"/>
      <c r="D47" s="73"/>
      <c r="E47" s="84"/>
      <c r="F47" s="44" t="str">
        <f>IF(B$9=1,"2.27 f","3.39.1")</f>
        <v>2.27 f</v>
      </c>
      <c r="G47" s="156"/>
      <c r="H47" s="7" t="s">
        <v>20</v>
      </c>
      <c r="I47" s="47"/>
      <c r="J47" s="47"/>
      <c r="K47" s="47"/>
      <c r="L47" s="47"/>
      <c r="M47" s="47"/>
      <c r="N47" s="47"/>
      <c r="O47" s="47"/>
      <c r="P47" s="47"/>
      <c r="Q47" s="47"/>
      <c r="R47" s="171">
        <f>IF(B13=1,Q44+W47,R48-W47)</f>
        <v>42929</v>
      </c>
      <c r="S47" s="171"/>
      <c r="T47" s="171"/>
      <c r="U47" s="45"/>
      <c r="V47" s="45"/>
      <c r="W47" s="104">
        <v>1</v>
      </c>
      <c r="X47" s="84"/>
      <c r="Y47" s="33"/>
      <c r="Z47" s="31"/>
      <c r="AA47" s="31"/>
      <c r="AB47" s="31"/>
      <c r="AC47" s="31"/>
      <c r="AD47" s="31"/>
      <c r="AE47" s="31"/>
      <c r="AF47" s="31"/>
      <c r="AG47" s="31"/>
      <c r="AH47" s="31"/>
      <c r="AI47" s="31"/>
      <c r="AJ47" s="31"/>
      <c r="AK47" s="31"/>
      <c r="AL47" s="31"/>
      <c r="AM47" s="31"/>
      <c r="AN47" s="31"/>
      <c r="AO47" s="31"/>
      <c r="AP47" s="31"/>
      <c r="AQ47" s="31"/>
      <c r="AR47" s="32"/>
      <c r="AT47" t="str">
        <f>IF(R47&lt;&gt;"",TEXT(R47,"dddd"),"")</f>
        <v>donderdag</v>
      </c>
      <c r="AU47">
        <f>WEEKNUM(R47,21)</f>
        <v>28</v>
      </c>
    </row>
    <row r="48" spans="1:47" x14ac:dyDescent="0.25">
      <c r="A48" s="75"/>
      <c r="B48" s="76"/>
      <c r="C48" s="72"/>
      <c r="D48" s="73"/>
      <c r="E48" s="84"/>
      <c r="F48" s="44" t="str">
        <f>IF(B$9=1,"2.27 g","3.39.1")</f>
        <v>2.27 g</v>
      </c>
      <c r="G48" s="156"/>
      <c r="H48" s="7" t="s">
        <v>21</v>
      </c>
      <c r="I48" s="47"/>
      <c r="J48" s="47"/>
      <c r="K48" s="47"/>
      <c r="L48" s="47"/>
      <c r="M48" s="47"/>
      <c r="N48" s="47"/>
      <c r="O48" s="47"/>
      <c r="P48" s="47"/>
      <c r="Q48" s="47"/>
      <c r="R48" s="171">
        <f>IF(B13=1,R47+W48,R49-W48)</f>
        <v>42936</v>
      </c>
      <c r="S48" s="171"/>
      <c r="T48" s="171"/>
      <c r="U48" s="45"/>
      <c r="V48" s="45"/>
      <c r="W48" s="104">
        <v>7</v>
      </c>
      <c r="X48" s="84"/>
      <c r="Y48" s="33"/>
      <c r="Z48" s="31"/>
      <c r="AA48" s="31"/>
      <c r="AB48" s="31"/>
      <c r="AC48" s="31"/>
      <c r="AD48" s="31"/>
      <c r="AE48" s="31"/>
      <c r="AF48" s="31"/>
      <c r="AG48" s="31"/>
      <c r="AH48" s="31"/>
      <c r="AI48" s="31"/>
      <c r="AJ48" s="31"/>
      <c r="AK48" s="31"/>
      <c r="AL48" s="31"/>
      <c r="AM48" s="31"/>
      <c r="AN48" s="31"/>
      <c r="AO48" s="31"/>
      <c r="AP48" s="31"/>
      <c r="AQ48" s="31"/>
      <c r="AR48" s="32"/>
      <c r="AT48" t="str">
        <f>IF(R48&lt;&gt;"",TEXT(R48,"dddd"),"")</f>
        <v>donderdag</v>
      </c>
      <c r="AU48">
        <f>WEEKNUM(R48,21)</f>
        <v>29</v>
      </c>
    </row>
    <row r="49" spans="1:50" x14ac:dyDescent="0.25">
      <c r="A49" s="75"/>
      <c r="B49" s="76"/>
      <c r="C49" s="72"/>
      <c r="D49" s="73"/>
      <c r="E49" s="84"/>
      <c r="F49" s="44"/>
      <c r="G49" s="156"/>
      <c r="H49" s="7" t="s">
        <v>27</v>
      </c>
      <c r="I49" s="47"/>
      <c r="J49" s="47"/>
      <c r="K49" s="47"/>
      <c r="L49" s="47"/>
      <c r="M49" s="47"/>
      <c r="N49" s="47"/>
      <c r="O49" s="47"/>
      <c r="P49" s="47"/>
      <c r="Q49" s="47"/>
      <c r="R49" s="171">
        <f>IF(B13=1,R48+W49,Q51-W49)</f>
        <v>42937</v>
      </c>
      <c r="S49" s="171"/>
      <c r="T49" s="171"/>
      <c r="U49" s="45"/>
      <c r="V49" s="45"/>
      <c r="W49" s="104">
        <v>1</v>
      </c>
      <c r="X49" s="84"/>
      <c r="Y49" s="30" t="s">
        <v>45</v>
      </c>
      <c r="Z49" s="31"/>
      <c r="AA49" s="31"/>
      <c r="AB49" s="31"/>
      <c r="AC49" s="31"/>
      <c r="AD49" s="31"/>
      <c r="AE49" s="31"/>
      <c r="AF49" s="31"/>
      <c r="AG49" s="31"/>
      <c r="AH49" s="31"/>
      <c r="AI49" s="31"/>
      <c r="AJ49" s="31"/>
      <c r="AK49" s="31"/>
      <c r="AL49" s="31"/>
      <c r="AM49" s="31"/>
      <c r="AN49" s="31"/>
      <c r="AO49" s="31"/>
      <c r="AP49" s="31"/>
      <c r="AQ49" s="31"/>
      <c r="AR49" s="32"/>
      <c r="AT49" t="str">
        <f>IF(R49&lt;&gt;"",TEXT(R49,"dddd"),"")</f>
        <v>vrijdag</v>
      </c>
      <c r="AU49">
        <f>WEEKNUM(R49,21)</f>
        <v>29</v>
      </c>
    </row>
    <row r="50" spans="1:50" ht="15.75" thickBot="1" x14ac:dyDescent="0.3">
      <c r="A50" s="75"/>
      <c r="B50" s="76"/>
      <c r="C50" s="72"/>
      <c r="D50" s="73"/>
      <c r="E50" s="84"/>
      <c r="F50" s="44" t="str">
        <f>IF(B$9=1,"2.27 h","")</f>
        <v>2.27 h</v>
      </c>
      <c r="G50" s="156"/>
      <c r="H50" s="7" t="str">
        <f>IF(B9=1,"opstellen proces-verbaal van opdrachtverlening","")</f>
        <v>opstellen proces-verbaal van opdrachtverlening</v>
      </c>
      <c r="I50" s="47"/>
      <c r="J50" s="47"/>
      <c r="K50" s="47"/>
      <c r="L50" s="47"/>
      <c r="M50" s="47"/>
      <c r="N50" s="47"/>
      <c r="O50" s="47"/>
      <c r="P50" s="47"/>
      <c r="Q50" s="47"/>
      <c r="R50" s="172">
        <f>IF(B9=1,IF(B13=1,R49+W50,Q51-W50),"")</f>
        <v>42938</v>
      </c>
      <c r="S50" s="172"/>
      <c r="T50" s="172"/>
      <c r="U50" s="45"/>
      <c r="V50" s="45"/>
      <c r="W50" s="104">
        <v>1</v>
      </c>
      <c r="X50" s="84"/>
      <c r="Y50" s="33"/>
      <c r="Z50" s="31"/>
      <c r="AA50" s="31"/>
      <c r="AB50" s="31"/>
      <c r="AC50" s="31"/>
      <c r="AD50" s="31"/>
      <c r="AE50" s="31"/>
      <c r="AF50" s="31"/>
      <c r="AG50" s="31"/>
      <c r="AH50" s="31"/>
      <c r="AI50" s="31"/>
      <c r="AJ50" s="31"/>
      <c r="AK50" s="31"/>
      <c r="AL50" s="31"/>
      <c r="AM50" s="31"/>
      <c r="AN50" s="31"/>
      <c r="AO50" s="31"/>
      <c r="AP50" s="31"/>
      <c r="AQ50" s="31"/>
      <c r="AR50" s="32"/>
      <c r="AT50" t="str">
        <f>IF(R50&lt;&gt;"",TEXT(R50,"dddd"),"")</f>
        <v>zaterdag</v>
      </c>
      <c r="AU50">
        <f>WEEKNUM(R50,21)</f>
        <v>29</v>
      </c>
    </row>
    <row r="51" spans="1:50" ht="15.75" thickBot="1" x14ac:dyDescent="0.3">
      <c r="A51" s="75"/>
      <c r="B51" s="76"/>
      <c r="C51" s="72"/>
      <c r="D51" s="73"/>
      <c r="E51" s="84"/>
      <c r="F51" s="44" t="str">
        <f>IF(B$9=1,"2.27 i","3.39.4")</f>
        <v>2.27 i</v>
      </c>
      <c r="G51" s="156"/>
      <c r="H51" s="13" t="s">
        <v>46</v>
      </c>
      <c r="I51" s="10"/>
      <c r="J51" s="10"/>
      <c r="K51" s="10"/>
      <c r="L51" s="10"/>
      <c r="M51" s="10"/>
      <c r="N51" s="10"/>
      <c r="O51" s="10"/>
      <c r="P51" s="10"/>
      <c r="Q51" s="174">
        <f>IF(B13=1,IF(B9=1,R50+W51,R49+W51),IF(B9=1,R53-(A53+W51),R53-(B53+W51)))</f>
        <v>42938</v>
      </c>
      <c r="R51" s="175"/>
      <c r="S51" s="175"/>
      <c r="T51" s="176"/>
      <c r="U51" s="45"/>
      <c r="V51" s="45"/>
      <c r="W51" s="104">
        <v>0</v>
      </c>
      <c r="X51" s="84"/>
      <c r="Y51" s="33"/>
      <c r="Z51" s="31"/>
      <c r="AA51" s="31"/>
      <c r="AB51" s="31"/>
      <c r="AC51" s="31"/>
      <c r="AD51" s="31"/>
      <c r="AE51" s="31"/>
      <c r="AF51" s="31"/>
      <c r="AG51" s="31"/>
      <c r="AH51" s="31"/>
      <c r="AI51" s="31"/>
      <c r="AJ51" s="31"/>
      <c r="AK51" s="31"/>
      <c r="AL51" s="31"/>
      <c r="AM51" s="31"/>
      <c r="AN51" s="31"/>
      <c r="AO51" s="31"/>
      <c r="AP51" s="31"/>
      <c r="AQ51" s="31"/>
      <c r="AR51" s="32"/>
      <c r="AT51" t="str">
        <f>IF(Q51&lt;&gt;"",TEXT(Q51,"dddd"),"")</f>
        <v>zaterdag</v>
      </c>
      <c r="AU51">
        <f>WEEKNUM(Q51,21)</f>
        <v>29</v>
      </c>
    </row>
    <row r="52" spans="1:50" ht="7.5" customHeight="1" x14ac:dyDescent="0.25">
      <c r="A52" s="75"/>
      <c r="B52" s="76"/>
      <c r="C52" s="72"/>
      <c r="D52" s="73"/>
      <c r="E52" s="84"/>
      <c r="F52" s="44"/>
      <c r="G52" s="156"/>
      <c r="H52" s="3"/>
      <c r="I52" s="45"/>
      <c r="J52" s="45"/>
      <c r="K52" s="45"/>
      <c r="L52" s="45"/>
      <c r="M52" s="45"/>
      <c r="N52" s="45"/>
      <c r="O52" s="45"/>
      <c r="P52" s="45"/>
      <c r="Q52" s="45"/>
      <c r="R52" s="45"/>
      <c r="S52" s="45"/>
      <c r="T52" s="49"/>
      <c r="U52" s="45"/>
      <c r="V52" s="45"/>
      <c r="W52" s="48"/>
      <c r="X52" s="84"/>
      <c r="Y52" s="33"/>
      <c r="Z52" s="31"/>
      <c r="AA52" s="31"/>
      <c r="AB52" s="31"/>
      <c r="AC52" s="31"/>
      <c r="AD52" s="31"/>
      <c r="AE52" s="31"/>
      <c r="AF52" s="31"/>
      <c r="AG52" s="31"/>
      <c r="AH52" s="31"/>
      <c r="AI52" s="31"/>
      <c r="AJ52" s="31"/>
      <c r="AK52" s="31"/>
      <c r="AL52" s="31"/>
      <c r="AM52" s="31"/>
      <c r="AN52" s="31"/>
      <c r="AO52" s="31"/>
      <c r="AP52" s="31"/>
      <c r="AQ52" s="31"/>
      <c r="AR52" s="32"/>
      <c r="AT52" t="str">
        <f>IF(T52&lt;&gt;"",TEXT(T52,"dddd"),"")</f>
        <v/>
      </c>
    </row>
    <row r="53" spans="1:50" ht="15.75" thickBot="1" x14ac:dyDescent="0.3">
      <c r="A53" s="75">
        <v>20</v>
      </c>
      <c r="B53" s="76">
        <v>20</v>
      </c>
      <c r="C53" s="72"/>
      <c r="D53" s="73"/>
      <c r="E53" s="84"/>
      <c r="F53" s="44" t="str">
        <f>IF(B$9=1,"2.127","30.40.2")</f>
        <v>2.127</v>
      </c>
      <c r="G53" s="156"/>
      <c r="H53" s="7" t="s">
        <v>32</v>
      </c>
      <c r="I53" s="47"/>
      <c r="J53" s="47"/>
      <c r="K53" s="47"/>
      <c r="L53" s="47"/>
      <c r="M53" s="47"/>
      <c r="N53" s="47"/>
      <c r="O53" s="47"/>
      <c r="P53" s="47"/>
      <c r="Q53" s="47"/>
      <c r="R53" s="172">
        <f>IF(B13=1,IF(B9=1,Q51+A53+W53,Q51+B53+W53),IF(B9=1,Q54-(A54+W53),Q54-(B54+W53)))</f>
        <v>42958</v>
      </c>
      <c r="S53" s="172"/>
      <c r="T53" s="172"/>
      <c r="U53" s="45"/>
      <c r="V53" s="45"/>
      <c r="W53" s="104">
        <v>0</v>
      </c>
      <c r="X53" s="84"/>
      <c r="Y53" s="30" t="str">
        <f>IF(B9=1,"2.127-3: de opschortende termijn bedraagt ten minste 20 kalenderdagen","3.40.2: opschortende termijn bedraagt ten minste 20 dagen, tenzij slechts een inschrijving is ontvangen")</f>
        <v>2.127-3: de opschortende termijn bedraagt ten minste 20 kalenderdagen</v>
      </c>
      <c r="Z53" s="31"/>
      <c r="AA53" s="31"/>
      <c r="AB53" s="31"/>
      <c r="AC53" s="31"/>
      <c r="AD53" s="31"/>
      <c r="AE53" s="31"/>
      <c r="AF53" s="31"/>
      <c r="AG53" s="31"/>
      <c r="AH53" s="31"/>
      <c r="AI53" s="31"/>
      <c r="AJ53" s="31"/>
      <c r="AK53" s="31"/>
      <c r="AL53" s="31"/>
      <c r="AM53" s="31"/>
      <c r="AN53" s="31"/>
      <c r="AO53" s="31"/>
      <c r="AP53" s="31"/>
      <c r="AQ53" s="31"/>
      <c r="AR53" s="32"/>
      <c r="AT53" t="str">
        <f>IF(R53&lt;&gt;"",TEXT(R53,"dddd"),"")</f>
        <v>vrijdag</v>
      </c>
      <c r="AU53">
        <f>WEEKNUM(R53,21)</f>
        <v>32</v>
      </c>
      <c r="AX53" s="1" t="s">
        <v>166</v>
      </c>
    </row>
    <row r="54" spans="1:50" ht="15.75" thickBot="1" x14ac:dyDescent="0.3">
      <c r="A54" s="75">
        <v>1</v>
      </c>
      <c r="B54" s="76">
        <v>1</v>
      </c>
      <c r="C54" s="72"/>
      <c r="D54" s="73"/>
      <c r="E54" s="84"/>
      <c r="F54" s="44"/>
      <c r="G54" s="156"/>
      <c r="H54" s="12" t="s">
        <v>0</v>
      </c>
      <c r="I54" s="10"/>
      <c r="J54" s="10"/>
      <c r="K54" s="10"/>
      <c r="L54" s="10"/>
      <c r="M54" s="10"/>
      <c r="N54" s="10"/>
      <c r="O54" s="10"/>
      <c r="P54" s="10"/>
      <c r="Q54" s="174">
        <f>IF(B13=1,IF(B9=1,R53+A54+W54,R53+B54+W54),L12)</f>
        <v>42959</v>
      </c>
      <c r="R54" s="175"/>
      <c r="S54" s="175"/>
      <c r="T54" s="176"/>
      <c r="U54" s="45"/>
      <c r="V54" s="45"/>
      <c r="W54" s="104">
        <v>0</v>
      </c>
      <c r="X54" s="84"/>
      <c r="Y54" s="33"/>
      <c r="Z54" s="31"/>
      <c r="AA54" s="31"/>
      <c r="AB54" s="31"/>
      <c r="AC54" s="31"/>
      <c r="AD54" s="31"/>
      <c r="AE54" s="31"/>
      <c r="AF54" s="31"/>
      <c r="AG54" s="31"/>
      <c r="AH54" s="31"/>
      <c r="AI54" s="31"/>
      <c r="AJ54" s="31"/>
      <c r="AK54" s="31"/>
      <c r="AL54" s="31"/>
      <c r="AM54" s="31"/>
      <c r="AN54" s="31"/>
      <c r="AO54" s="31"/>
      <c r="AP54" s="31"/>
      <c r="AQ54" s="31"/>
      <c r="AR54" s="32"/>
      <c r="AT54" t="str">
        <f>IF(Q54&lt;&gt;"",TEXT(Q54,"dddd"),"")</f>
        <v>zaterdag</v>
      </c>
      <c r="AU54">
        <f>WEEKNUM(Q54,21)</f>
        <v>32</v>
      </c>
      <c r="AX54" s="183">
        <f>Q54-1</f>
        <v>42958</v>
      </c>
    </row>
    <row r="55" spans="1:50" ht="7.5" customHeight="1" x14ac:dyDescent="0.25">
      <c r="A55" s="75"/>
      <c r="B55" s="76"/>
      <c r="C55" s="72"/>
      <c r="D55" s="73"/>
      <c r="E55" s="84"/>
      <c r="F55" s="44"/>
      <c r="G55" s="156"/>
      <c r="H55" s="8"/>
      <c r="I55" s="45"/>
      <c r="J55" s="45"/>
      <c r="K55" s="45"/>
      <c r="L55" s="45"/>
      <c r="M55" s="45"/>
      <c r="N55" s="45"/>
      <c r="O55" s="45"/>
      <c r="P55" s="45"/>
      <c r="Q55" s="45"/>
      <c r="R55" s="45"/>
      <c r="S55" s="45"/>
      <c r="T55" s="49"/>
      <c r="U55" s="45"/>
      <c r="V55" s="45"/>
      <c r="W55" s="48"/>
      <c r="X55" s="84"/>
      <c r="Y55" s="33"/>
      <c r="Z55" s="31"/>
      <c r="AA55" s="31"/>
      <c r="AB55" s="31"/>
      <c r="AC55" s="31"/>
      <c r="AD55" s="31"/>
      <c r="AE55" s="31"/>
      <c r="AF55" s="31"/>
      <c r="AG55" s="31"/>
      <c r="AH55" s="31"/>
      <c r="AI55" s="31"/>
      <c r="AJ55" s="31"/>
      <c r="AK55" s="31"/>
      <c r="AL55" s="31"/>
      <c r="AM55" s="31"/>
      <c r="AN55" s="31"/>
      <c r="AO55" s="31"/>
      <c r="AP55" s="31"/>
      <c r="AQ55" s="31"/>
      <c r="AR55" s="32"/>
      <c r="AT55" t="str">
        <f>IF(T55&lt;&gt;"",TEXT(T55,"dddd"),"")</f>
        <v/>
      </c>
    </row>
    <row r="56" spans="1:50" x14ac:dyDescent="0.25">
      <c r="A56" s="75">
        <v>30</v>
      </c>
      <c r="B56" s="76">
        <v>48</v>
      </c>
      <c r="C56" s="72"/>
      <c r="D56" s="73"/>
      <c r="E56" s="84"/>
      <c r="F56" s="44" t="str">
        <f>IF(B$9=1,"2.27 k","3.32")</f>
        <v>2.27 k</v>
      </c>
      <c r="G56" s="156"/>
      <c r="H56" s="7" t="s">
        <v>26</v>
      </c>
      <c r="I56" s="47"/>
      <c r="J56" s="47"/>
      <c r="K56" s="47"/>
      <c r="L56" s="47"/>
      <c r="M56" s="47"/>
      <c r="N56" s="47"/>
      <c r="O56" s="47"/>
      <c r="P56" s="47"/>
      <c r="Q56" s="47"/>
      <c r="R56" s="171">
        <f>IF(B9=1,Q54+A56,Q54+B56)</f>
        <v>42989</v>
      </c>
      <c r="S56" s="171"/>
      <c r="T56" s="171"/>
      <c r="U56" s="45"/>
      <c r="V56" s="45"/>
      <c r="W56" s="48"/>
      <c r="X56" s="84"/>
      <c r="Y56" s="30" t="str">
        <f>IF(B9=1,"2.134-1: aankondiging gegunde opdracht binnen 30 dagen na gunning","3.41.2: aankondiging gegunde opdracht uiterlijk 48 dagen na gunning")</f>
        <v>2.134-1: aankondiging gegunde opdracht binnen 30 dagen na gunning</v>
      </c>
      <c r="Z56" s="31"/>
      <c r="AA56" s="31"/>
      <c r="AB56" s="31"/>
      <c r="AC56" s="31"/>
      <c r="AD56" s="31"/>
      <c r="AE56" s="31"/>
      <c r="AF56" s="31"/>
      <c r="AG56" s="31"/>
      <c r="AH56" s="31"/>
      <c r="AI56" s="31"/>
      <c r="AJ56" s="31"/>
      <c r="AK56" s="31"/>
      <c r="AL56" s="31"/>
      <c r="AM56" s="31"/>
      <c r="AN56" s="31"/>
      <c r="AO56" s="31"/>
      <c r="AP56" s="31"/>
      <c r="AQ56" s="31"/>
      <c r="AR56" s="32"/>
      <c r="AT56" t="str">
        <f>IF(R56&lt;&gt;"",TEXT(R56,"dddd"),"")</f>
        <v>maandag</v>
      </c>
      <c r="AU56">
        <f>WEEKNUM(R56,21)</f>
        <v>37</v>
      </c>
    </row>
    <row r="57" spans="1:50" x14ac:dyDescent="0.25">
      <c r="A57" s="75">
        <v>50</v>
      </c>
      <c r="B57" s="76">
        <v>50</v>
      </c>
      <c r="C57" s="72"/>
      <c r="D57" s="73"/>
      <c r="E57" s="84"/>
      <c r="F57" s="44"/>
      <c r="G57" s="156"/>
      <c r="H57" s="7" t="s">
        <v>24</v>
      </c>
      <c r="I57" s="47"/>
      <c r="J57" s="47"/>
      <c r="K57" s="47"/>
      <c r="L57" s="47"/>
      <c r="M57" s="47"/>
      <c r="N57" s="47"/>
      <c r="O57" s="47"/>
      <c r="P57" s="47"/>
      <c r="Q57" s="47"/>
      <c r="R57" s="171">
        <f>IF(B9=1,Q44+A57+W57,Q44+B57+W57)</f>
        <v>42978</v>
      </c>
      <c r="S57" s="171"/>
      <c r="T57" s="171"/>
      <c r="U57" s="45"/>
      <c r="V57" s="45"/>
      <c r="W57" s="104">
        <v>0</v>
      </c>
      <c r="X57" s="84"/>
      <c r="Y57" s="30" t="str">
        <f>IF(B9=1,"De Aanbestedingswet schrijft geen gestanddoeningstermijn voor, uitgangspunt in deze planner is 50 dagen.","3.33.1: gestanddoening 50 dagen of 8 dagen na vonnis kort geding")</f>
        <v>De Aanbestedingswet schrijft geen gestanddoeningstermijn voor, uitgangspunt in deze planner is 50 dagen.</v>
      </c>
      <c r="Z57" s="31"/>
      <c r="AA57" s="31"/>
      <c r="AB57" s="31"/>
      <c r="AC57" s="31"/>
      <c r="AD57" s="31"/>
      <c r="AE57" s="31"/>
      <c r="AF57" s="31"/>
      <c r="AG57" s="31"/>
      <c r="AH57" s="31"/>
      <c r="AI57" s="31"/>
      <c r="AJ57" s="31"/>
      <c r="AK57" s="31"/>
      <c r="AL57" s="31"/>
      <c r="AM57" s="31"/>
      <c r="AN57" s="31"/>
      <c r="AO57" s="31"/>
      <c r="AP57" s="31"/>
      <c r="AQ57" s="31"/>
      <c r="AR57" s="32"/>
      <c r="AT57" t="str">
        <f>IF(R57&lt;&gt;"",TEXT(R57,"dddd"),"")</f>
        <v>donderdag</v>
      </c>
      <c r="AU57">
        <f>WEEKNUM(R57,21)</f>
        <v>35</v>
      </c>
    </row>
    <row r="58" spans="1:50" x14ac:dyDescent="0.25">
      <c r="A58" s="115">
        <f>3*365</f>
        <v>1095</v>
      </c>
      <c r="B58" s="114">
        <f>3*365</f>
        <v>1095</v>
      </c>
      <c r="C58" s="72"/>
      <c r="D58" s="73"/>
      <c r="E58" s="84"/>
      <c r="F58" s="44" t="str">
        <f>IF(B$9=1,"2.56","1.4.3")</f>
        <v>2.56</v>
      </c>
      <c r="G58" s="156"/>
      <c r="H58" s="7" t="str">
        <f>IF(B9=1,"bewaartermijn documentatie aanbesteding","")</f>
        <v>bewaartermijn documentatie aanbesteding</v>
      </c>
      <c r="I58" s="47"/>
      <c r="J58" s="47"/>
      <c r="K58" s="47"/>
      <c r="L58" s="47"/>
      <c r="M58" s="47"/>
      <c r="N58" s="47"/>
      <c r="O58" s="47"/>
      <c r="P58" s="47"/>
      <c r="Q58" s="47"/>
      <c r="R58" s="171">
        <f>IF(B9=1,Q54+A58,Q54+B58)</f>
        <v>44054</v>
      </c>
      <c r="S58" s="171"/>
      <c r="T58" s="171"/>
      <c r="U58" s="45"/>
      <c r="V58" s="45"/>
      <c r="W58" s="46"/>
      <c r="X58" s="84"/>
      <c r="Y58" s="30" t="str">
        <f>IF(B9=1,"2.56-2: documentatie wordt ten minste drie jaar bewaard na datum gunning","1.4.3: documentatie wordt ten minste drie jaar bewaard na beeindiging procedure")</f>
        <v>2.56-2: documentatie wordt ten minste drie jaar bewaard na datum gunning</v>
      </c>
      <c r="Z58" s="31"/>
      <c r="AA58" s="31"/>
      <c r="AB58" s="31"/>
      <c r="AC58" s="31"/>
      <c r="AD58" s="31"/>
      <c r="AE58" s="31"/>
      <c r="AF58" s="31"/>
      <c r="AG58" s="31"/>
      <c r="AH58" s="31"/>
      <c r="AI58" s="31"/>
      <c r="AJ58" s="31"/>
      <c r="AK58" s="31"/>
      <c r="AL58" s="31"/>
      <c r="AM58" s="31"/>
      <c r="AN58" s="31"/>
      <c r="AO58" s="31"/>
      <c r="AP58" s="31"/>
      <c r="AQ58" s="31"/>
      <c r="AR58" s="32"/>
      <c r="AT58" t="str">
        <f>IF(R58&lt;&gt;"",TEXT(R58,"dddd"),"")</f>
        <v>dinsdag</v>
      </c>
      <c r="AU58">
        <f>WEEKNUM(R58,21)</f>
        <v>33</v>
      </c>
    </row>
    <row r="59" spans="1:50" ht="14.25" customHeight="1" thickBot="1" x14ac:dyDescent="0.3">
      <c r="A59" s="189"/>
      <c r="B59" s="190"/>
      <c r="C59" s="190"/>
      <c r="D59" s="191"/>
      <c r="E59" s="84"/>
      <c r="F59" s="192"/>
      <c r="G59" s="193"/>
      <c r="H59" s="193"/>
      <c r="I59" s="193"/>
      <c r="J59" s="193"/>
      <c r="K59" s="193"/>
      <c r="L59" s="193"/>
      <c r="M59" s="193"/>
      <c r="N59" s="193"/>
      <c r="O59" s="193"/>
      <c r="P59" s="193"/>
      <c r="Q59" s="193"/>
      <c r="R59" s="193"/>
      <c r="S59" s="193"/>
      <c r="T59" s="193"/>
      <c r="U59" s="193"/>
      <c r="V59" s="193"/>
      <c r="W59" s="194"/>
      <c r="X59" s="84"/>
      <c r="Y59" s="136" t="s">
        <v>144</v>
      </c>
      <c r="Z59" s="134"/>
      <c r="AA59" s="134"/>
      <c r="AB59" s="134"/>
      <c r="AC59" s="134"/>
      <c r="AD59" s="134"/>
      <c r="AE59" s="134"/>
      <c r="AF59" s="134"/>
      <c r="AG59" s="134"/>
      <c r="AH59" s="134"/>
      <c r="AI59" s="134"/>
      <c r="AJ59" s="134"/>
      <c r="AK59" s="134"/>
      <c r="AL59" s="134"/>
      <c r="AM59" s="134"/>
      <c r="AN59" s="134"/>
      <c r="AO59" s="134"/>
      <c r="AP59" s="134"/>
      <c r="AQ59" s="134"/>
      <c r="AR59" s="135"/>
    </row>
    <row r="60" spans="1:50" ht="7.5" customHeight="1" thickBot="1" x14ac:dyDescent="0.3">
      <c r="F60" s="2"/>
    </row>
    <row r="61" spans="1:50" ht="15.75" thickBot="1" x14ac:dyDescent="0.3">
      <c r="A61" s="168" t="s">
        <v>162</v>
      </c>
      <c r="B61" s="166"/>
      <c r="C61" s="166"/>
      <c r="D61" s="167"/>
      <c r="F61" s="211"/>
      <c r="G61" s="212">
        <f>$A$62</f>
        <v>42826</v>
      </c>
      <c r="H61" s="213"/>
      <c r="I61" s="213"/>
      <c r="J61" s="213"/>
      <c r="K61" s="213"/>
      <c r="L61" s="213"/>
      <c r="M61" s="214"/>
      <c r="N61" s="155"/>
      <c r="O61" s="211"/>
      <c r="P61" s="212">
        <f>$G$61+32</f>
        <v>42858</v>
      </c>
      <c r="Q61" s="213"/>
      <c r="R61" s="213"/>
      <c r="S61" s="213"/>
      <c r="T61" s="213"/>
      <c r="U61" s="213"/>
      <c r="V61" s="213"/>
      <c r="W61" s="214"/>
      <c r="X61" s="155"/>
      <c r="Y61" s="211"/>
      <c r="Z61" s="212">
        <f>$P$61+31</f>
        <v>42889</v>
      </c>
      <c r="AA61" s="215"/>
      <c r="AB61" s="215"/>
      <c r="AC61" s="215"/>
      <c r="AD61" s="215"/>
      <c r="AE61" s="215"/>
      <c r="AF61" s="216"/>
      <c r="AG61" s="155"/>
      <c r="AH61" s="211"/>
      <c r="AI61" s="212">
        <f>$Z$61+31</f>
        <v>42920</v>
      </c>
      <c r="AJ61" s="215"/>
      <c r="AK61" s="215"/>
      <c r="AL61" s="215"/>
      <c r="AM61" s="215"/>
      <c r="AN61" s="215"/>
      <c r="AO61" s="216"/>
      <c r="AQ61" s="217" t="s">
        <v>167</v>
      </c>
      <c r="AR61" s="218"/>
    </row>
    <row r="62" spans="1:50" ht="15.75" thickBot="1" x14ac:dyDescent="0.3">
      <c r="A62" s="157">
        <f>DATE(B64,A64,1)</f>
        <v>42826</v>
      </c>
      <c r="B62" s="158"/>
      <c r="C62" s="159"/>
      <c r="D62" s="160"/>
      <c r="F62" s="219" t="s">
        <v>165</v>
      </c>
      <c r="G62" s="207" t="s">
        <v>155</v>
      </c>
      <c r="H62" s="208" t="s">
        <v>156</v>
      </c>
      <c r="I62" s="208" t="s">
        <v>157</v>
      </c>
      <c r="J62" s="208" t="s">
        <v>158</v>
      </c>
      <c r="K62" s="208" t="s">
        <v>159</v>
      </c>
      <c r="L62" s="209" t="s">
        <v>160</v>
      </c>
      <c r="M62" s="210" t="s">
        <v>161</v>
      </c>
      <c r="N62" s="155"/>
      <c r="O62" s="219" t="s">
        <v>165</v>
      </c>
      <c r="P62" s="207" t="s">
        <v>155</v>
      </c>
      <c r="Q62" s="208" t="s">
        <v>156</v>
      </c>
      <c r="R62" s="208" t="s">
        <v>157</v>
      </c>
      <c r="S62" s="208" t="s">
        <v>158</v>
      </c>
      <c r="T62" s="208" t="s">
        <v>159</v>
      </c>
      <c r="U62" s="224" t="s">
        <v>160</v>
      </c>
      <c r="V62" s="224"/>
      <c r="W62" s="210" t="s">
        <v>161</v>
      </c>
      <c r="X62" s="155"/>
      <c r="Y62" s="219" t="s">
        <v>165</v>
      </c>
      <c r="Z62" s="207" t="s">
        <v>155</v>
      </c>
      <c r="AA62" s="208" t="s">
        <v>156</v>
      </c>
      <c r="AB62" s="208" t="s">
        <v>157</v>
      </c>
      <c r="AC62" s="208" t="s">
        <v>158</v>
      </c>
      <c r="AD62" s="208" t="s">
        <v>159</v>
      </c>
      <c r="AE62" s="209" t="s">
        <v>160</v>
      </c>
      <c r="AF62" s="210" t="s">
        <v>161</v>
      </c>
      <c r="AG62" s="155"/>
      <c r="AH62" s="219" t="s">
        <v>165</v>
      </c>
      <c r="AI62" s="207" t="s">
        <v>155</v>
      </c>
      <c r="AJ62" s="208" t="s">
        <v>156</v>
      </c>
      <c r="AK62" s="208" t="s">
        <v>157</v>
      </c>
      <c r="AL62" s="208" t="s">
        <v>158</v>
      </c>
      <c r="AM62" s="208" t="s">
        <v>159</v>
      </c>
      <c r="AN62" s="209" t="s">
        <v>160</v>
      </c>
      <c r="AO62" s="210" t="s">
        <v>161</v>
      </c>
      <c r="AQ62" s="202" t="s">
        <v>171</v>
      </c>
      <c r="AR62" s="203">
        <f>Q30-(AX26-1)</f>
        <v>30</v>
      </c>
    </row>
    <row r="63" spans="1:50" x14ac:dyDescent="0.25">
      <c r="A63" s="161"/>
      <c r="B63" s="162"/>
      <c r="C63" s="159"/>
      <c r="D63" s="160"/>
      <c r="F63" s="230">
        <f>WEEKNUM(M63,21)</f>
        <v>13</v>
      </c>
      <c r="G63" s="220" t="str">
        <f>IF(AND(YEAR((DATE($B$64,$A$64,1)-WEEKDAY(DATE($B$64,$A$64,1),2)+1)+0)=$B$64,MONTH((DATE($B$64,$A$64,1)-WEEKDAY(DATE($B$64,$A$64,1),2)+1)+0)=$A$64),((DATE($B$64,$A$64,1)-WEEKDAY(DATE($B$64,$A$64,1),2)+1)+0), "")</f>
        <v/>
      </c>
      <c r="H63" s="196" t="str">
        <f>IF(AND(YEAR((DATE($B$64,$A$64,1)-WEEKDAY(DATE($B$64,$A$64,1),2)+1)+1)=$B$64,MONTH((DATE($B$64,$A$64,1)-WEEKDAY(DATE($B$64,$A$64,1),2)+1)+1)=$A$64),((DATE($B$64,$A$64,1)-WEEKDAY(DATE($B$64,$A$64,1),2)+1)+1), "")</f>
        <v/>
      </c>
      <c r="I63" s="196" t="str">
        <f>IF(AND(YEAR((DATE($B$64,$A$64,1)-WEEKDAY(DATE($B$64,$A$64,1),2)+1)+2)=$B$64,MONTH((DATE($B$64,$A$64,1)-WEEKDAY(DATE($B$64,$A$64,1),2)+1)+2)=$A$64),((DATE($B$64,$A$64,1)-WEEKDAY(DATE($B$64,$A$64,1),2)+1)+2), "")</f>
        <v/>
      </c>
      <c r="J63" s="196" t="str">
        <f>IF(AND(YEAR((DATE($B$64,$A$64,1)-WEEKDAY(DATE($B$64,$A$64,1),2)+1)+3)=$B$64,MONTH((DATE($B$64,$A$64,1)-WEEKDAY(DATE($B$64,$A$64,1),2)+1)+3)=$A$64),((DATE($B$64,$A$64,1)-WEEKDAY(DATE($B$64,$A$64,1),2)+1)+3), "")</f>
        <v/>
      </c>
      <c r="K63" s="196" t="str">
        <f>IF(AND(YEAR((DATE($B$64,$A$64,1)-WEEKDAY(DATE($B$64,$A$64,1),2)+1)+4)=$B$64,MONTH((DATE($B$64,$A$64,1)-WEEKDAY(DATE($B$64,$A$64,1),2)+1)+4)=$A$64),((DATE($B$64,$A$64,1)-WEEKDAY(DATE($B$64,$A$64,1),2)+1)+4), "")</f>
        <v/>
      </c>
      <c r="L63" s="197">
        <f>IF(AND(YEAR((DATE($B$64,$A$64,1)-WEEKDAY(DATE($B$64,$A$64,1),2)+1)+5)=$B$64,MONTH((DATE($B$64,$A$64,1)-WEEKDAY(DATE($B$64,$A$64,1),2)+1)+5)=$A$64),((DATE($B$64,$A$64,1)-WEEKDAY(DATE($B$64,$A$64,1),2)+1)+5), "")</f>
        <v>42826</v>
      </c>
      <c r="M63" s="198">
        <f>IF(AND(YEAR((DATE($B$64,$A$64,1)-WEEKDAY(DATE($B$64,$A$64,1),2)+1)+6)=$B$64,MONTH((DATE($B$64,$A$64,1)-WEEKDAY(DATE($B$64,$A$64,1),2)+1)+6)=$A$64),((DATE($B$64,$A$64,1)-WEEKDAY(DATE($B$64,$A$64,1),2)+1)+6), "")</f>
        <v>42827</v>
      </c>
      <c r="N63" s="155"/>
      <c r="O63" s="230">
        <f>WEEKNUM(W63,21)</f>
        <v>18</v>
      </c>
      <c r="P63" s="220">
        <f>IF(AND(YEAR((DATE($B$65,$A$65,1)-WEEKDAY(DATE($B$65,$A$65,1),2)+1)+0)=$B$65,MONTH((DATE($B$65,$A$65,1)-WEEKDAY(DATE($B$65,$A$65,1),2)+1)+0)=$A$65),((DATE($B$65,$A$65,1)-WEEKDAY(DATE($B$65,$A$65,1),2)+1)+0), "")</f>
        <v>42856</v>
      </c>
      <c r="Q63" s="196">
        <f>IF(AND(YEAR((DATE($B$65,$A$65,1)-WEEKDAY(DATE($B$65,$A$65,1),2)+1)+1)=$B$65,MONTH((DATE($B$65,$A$65,1)-WEEKDAY(DATE($B$65,$A$65,1),2)+1)+1)=$A$65),((DATE($B$65,$A$65,1)-WEEKDAY(DATE($B$65,$A$65,1),2)+1)+1), "")</f>
        <v>42857</v>
      </c>
      <c r="R63" s="196">
        <f>IF(AND(YEAR((DATE($B$65,$A$65,1)-WEEKDAY(DATE($B$65,$A$65,1),2)+1)+2)=$B$65,MONTH((DATE($B$65,$A$65,1)-WEEKDAY(DATE($B$65,$A$65,1),2)+1)+2)=$A$65),((DATE($B$65,$A$65,1)-WEEKDAY(DATE($B$65,$A$65,1),2)+1)+2), "")</f>
        <v>42858</v>
      </c>
      <c r="S63" s="196">
        <f>IF(AND(YEAR((DATE($B$65,$A$65,1)-WEEKDAY(DATE($B$65,$A$65,1),2)+1)+3)=$B$65,MONTH((DATE($B$65,$A$65,1)-WEEKDAY(DATE($B$65,$A$65,1),2)+1)+3)=$A$65),((DATE($B$65,$A$65,1)-WEEKDAY(DATE($B$65,$A$65,1),2)+1)+3), "")</f>
        <v>42859</v>
      </c>
      <c r="T63" s="196">
        <f>IF(AND(YEAR((DATE($B$65,$A$65,1)-WEEKDAY(DATE($B$65,$A$65,1),2)+1)+4)=$B$65,MONTH((DATE($B$65,$A$65,1)-WEEKDAY(DATE($B$65,$A$65,1),2)+1)+4)=$A$65),((DATE($B$65,$A$65,1)-WEEKDAY(DATE($B$65,$A$65,1),2)+1)+4), "")</f>
        <v>42860</v>
      </c>
      <c r="U63" s="222">
        <f>IF(AND(YEAR((DATE($B$65,$A$65,1)-WEEKDAY(DATE($B$65,$A$65,1),2)+1)+5)=$B$65,MONTH((DATE($B$65,$A$65,1)-WEEKDAY(DATE($B$65,$A$65,1),2)+1)+5)=$A$65),((DATE($B$65,$A$65,1)-WEEKDAY(DATE($B$65,$A$65,1),2)+1)+5), "")</f>
        <v>42861</v>
      </c>
      <c r="V63" s="222"/>
      <c r="W63" s="198">
        <f>IF(AND(YEAR((DATE($B$65,$A$65,1)-WEEKDAY(DATE($B$65,$A$65,1),2)+1)+6)=$B$65,MONTH((DATE($B$65,$A$65,1)-WEEKDAY(DATE($B$65,$A$65,1),2)+1)+6)=$A$65),((DATE($B$65,$A$65,1)-WEEKDAY(DATE($B$65,$A$65,1),2)+1)+6), "")</f>
        <v>42862</v>
      </c>
      <c r="X63" s="155"/>
      <c r="Y63" s="230">
        <f>WEEKNUM(AF63,21)</f>
        <v>22</v>
      </c>
      <c r="Z63" s="220" t="str">
        <f>IF(AND(YEAR((DATE($B$66,$A$66,1)-WEEKDAY(DATE($B$66,$A$66,1),2)+1)+0)=$B$66,MONTH((DATE($B$66,$A$66,1)-WEEKDAY(DATE($B$66,$A$66,1),2)+1)+0)=$A$66),((DATE($B$66,$A$66,1)-WEEKDAY(DATE($B$66,$A$66,1),2)+1)+0), "")</f>
        <v/>
      </c>
      <c r="AA63" s="196" t="str">
        <f>IF(AND(YEAR((DATE($B$66,$A$66,1)-WEEKDAY(DATE($B$66,$A$66,1),2)+1)+1)=$B$66,MONTH((DATE($B$66,$A$66,1)-WEEKDAY(DATE($B$66,$A$66,1),2)+1)+1)=$A$66),((DATE($B$66,$A$66,1)-WEEKDAY(DATE($B$66,$A$66,1),2)+1)+1), "")</f>
        <v/>
      </c>
      <c r="AB63" s="196" t="str">
        <f>IF(AND(YEAR((DATE($B$66,$A$66,1)-WEEKDAY(DATE($B$66,$A$66,1),2)+1)+2)=$B$66,MONTH((DATE($B$66,$A$66,1)-WEEKDAY(DATE($B$66,$A$66,1),2)+1)+2)=$A$66),((DATE($B$66,$A$66,1)-WEEKDAY(DATE($B$66,$A$66,1),2)+1)+2), "")</f>
        <v/>
      </c>
      <c r="AC63" s="196">
        <f>IF(AND(YEAR((DATE($B$66,$A$66,1)-WEEKDAY(DATE($B$66,$A$66,1),2)+1)+3)=$B$66,MONTH((DATE($B$66,$A$66,1)-WEEKDAY(DATE($B$66,$A$66,1),2)+1)+3)=$A$66),((DATE($B$66,$A$66,1)-WEEKDAY(DATE($B$66,$A$66,1),2)+1)+3), "")</f>
        <v>42887</v>
      </c>
      <c r="AD63" s="196">
        <f>IF(AND(YEAR((DATE($B$66,$A$66,1)-WEEKDAY(DATE($B$66,$A$66,1),2)+1)+4)=$B$66,MONTH((DATE($B$66,$A$66,1)-WEEKDAY(DATE($B$66,$A$66,1),2)+1)+4)=$A$66),((DATE($B$66,$A$66,1)-WEEKDAY(DATE($B$66,$A$66,1),2)+1)+4), "")</f>
        <v>42888</v>
      </c>
      <c r="AE63" s="197">
        <f>IF(AND(YEAR((DATE($B$66,$A$66,1)-WEEKDAY(DATE($B$66,$A$66,1),2)+1)+5)=$B$66,MONTH((DATE($B$66,$A$66,1)-WEEKDAY(DATE($B$66,$A$66,1),2)+1)+5)=$A$66),((DATE($B$66,$A$66,1)-WEEKDAY(DATE($B$66,$A$66,1),2)+1)+5), "")</f>
        <v>42889</v>
      </c>
      <c r="AF63" s="198">
        <f>IF(AND(YEAR((DATE($B$66,$A$66,1)-WEEKDAY(DATE($B$66,$A$66,1),2)+1)+6)=$B$66,MONTH((DATE($B$66,$A$66,1)-WEEKDAY(DATE($B$66,$A$66,1),2)+1)+6)=$A$66),((DATE($B$66,$A$66,1)-WEEKDAY(DATE($B$66,$A$66,1),2)+1)+6), "")</f>
        <v>42890</v>
      </c>
      <c r="AG63" s="155"/>
      <c r="AH63" s="230">
        <f>WEEKNUM(AO63,21)</f>
        <v>26</v>
      </c>
      <c r="AI63" s="220" t="str">
        <f>IF(AND(YEAR((DATE($B$67,$A$67,1)-WEEKDAY(DATE($B$67,$A$67,1),2)+1)+0)=$B$67,MONTH((DATE($B$67,$A$67,1)-WEEKDAY(DATE($B$67,$A$67,1),2)+1)+0)=$A$67),((DATE($B$67,$A$67,1)-WEEKDAY(DATE($B$67,$A$67,1),2)+1)+0), "")</f>
        <v/>
      </c>
      <c r="AJ63" s="196" t="str">
        <f>IF(AND(YEAR((DATE($B$67,$A$67,1)-WEEKDAY(DATE($B$67,$A$67,1),2)+1)+1)=$B$67,MONTH((DATE($B$67,$A$67,1)-WEEKDAY(DATE($B$67,$A$67,1),2)+1)+1)=$A$67),((DATE($B$67,$A$67,1)-WEEKDAY(DATE($B$67,$A$67,1),2)+1)+1), "")</f>
        <v/>
      </c>
      <c r="AK63" s="196" t="str">
        <f>IF(AND(YEAR((DATE($B$67,$A$67,1)-WEEKDAY(DATE($B$67,$A$67,1),2)+1)+2)=$B$67,MONTH((DATE($B$67,$A$67,1)-WEEKDAY(DATE($B$67,$A$67,1),2)+1)+2)=$A$67),((DATE($B$67,$A$67,1)-WEEKDAY(DATE($B$67,$A$67,1),2)+1)+2), "")</f>
        <v/>
      </c>
      <c r="AL63" s="196" t="str">
        <f>IF(AND(YEAR((DATE($B$67,$A$67,1)-WEEKDAY(DATE($B$67,$A$67,1),2)+1)+3)=$B$67,MONTH((DATE($B$67,$A$67,1)-WEEKDAY(DATE($B$67,$A$67,1),2)+1)+3)=$A$67),((DATE($B$67,$A$67,1)-WEEKDAY(DATE($B$67,$A$67,1),2)+1)+3), "")</f>
        <v/>
      </c>
      <c r="AM63" s="196" t="str">
        <f>IF(AND(YEAR((DATE($B$67,$A$67,1)-WEEKDAY(DATE($B$67,$A$67,1),2)+1)+4)=$B$67,MONTH((DATE($B$67,$A$67,1)-WEEKDAY(DATE($B$67,$A$67,1),2)+1)+4)=$A$67),((DATE($B$67,$A$67,1)-WEEKDAY(DATE($B$67,$A$67,1),2)+1)+4), "")</f>
        <v/>
      </c>
      <c r="AN63" s="197">
        <f>IF(AND(YEAR((DATE($B$67,$A$67,1)-WEEKDAY(DATE($B$67,$A$67,1),2)+1)+5)=$B$67,MONTH((DATE($B$67,$A$67,1)-WEEKDAY(DATE($B$67,$A$67,1),2)+1)+5)=$A$67),((DATE($B$67,$A$67,1)-WEEKDAY(DATE($B$67,$A$67,1),2)+1)+5), "")</f>
        <v>42917</v>
      </c>
      <c r="AO63" s="198">
        <f>IF(AND(YEAR((DATE($B$67,$A$67,1)-WEEKDAY(DATE($B$67,$A$67,1),2)+1)+6)=$B$67,MONTH((DATE($B$67,$A$67,1)-WEEKDAY(DATE($B$67,$A$67,1),2)+1)+6)=$A$67),((DATE($B$67,$A$67,1)-WEEKDAY(DATE($B$67,$A$67,1),2)+1)+6), "")</f>
        <v>42918</v>
      </c>
      <c r="AQ63" s="202" t="s">
        <v>168</v>
      </c>
      <c r="AR63" s="203">
        <f>IF(B19=TRUE,R36-Q30,Q38-Q30)</f>
        <v>15</v>
      </c>
    </row>
    <row r="64" spans="1:50" x14ac:dyDescent="0.25">
      <c r="A64" s="161">
        <f>MONTH($Q$27)</f>
        <v>4</v>
      </c>
      <c r="B64" s="162">
        <f>YEAR(Q27)</f>
        <v>2017</v>
      </c>
      <c r="C64" s="159"/>
      <c r="D64" s="160"/>
      <c r="F64" s="230">
        <f>WEEKNUM(G64,21)</f>
        <v>14</v>
      </c>
      <c r="G64" s="196">
        <f>IF(AND(YEAR((DATE($B$64,$A$64,1)-WEEKDAY(DATE($B$64,$A$64,1),2)+1)+7)=$B$64,MONTH((DATE($B$64,$A$64,1)-WEEKDAY(DATE($B$64,$A$64,1),2)+1)+7)=$A$64),((DATE($B$64,$A$64,1)-WEEKDAY(DATE($B$64,$A$64,1),2)+1)+7), "")</f>
        <v>42828</v>
      </c>
      <c r="H64" s="196">
        <f>IF(AND(YEAR((DATE($B$64,$A$64,1)-WEEKDAY(DATE($B$64,$A$64,1),2)+1)+8)=$B$64,MONTH((DATE($B$64,$A$64,1)-WEEKDAY(DATE($B$64,$A$64,1),2)+1)+8)=$A$64),((DATE($B$64,$A$64,1)-WEEKDAY(DATE($B$64,$A$64,1),2)+1)+8), "")</f>
        <v>42829</v>
      </c>
      <c r="I64" s="196">
        <f>IF(AND(YEAR((DATE($B$64,$A$64,1)-WEEKDAY(DATE($B$64,$A$64,1),2)+1)+9)=$B$64,MONTH((DATE($B$64,$A$64,1)-WEEKDAY(DATE($B$64,$A$64,1),2)+1)+9)=$A$64),((DATE($B$64,$A$64,1)-WEEKDAY(DATE($B$64,$A$64,1),2)+1)+9), "")</f>
        <v>42830</v>
      </c>
      <c r="J64" s="196">
        <f>IF(AND(YEAR((DATE($B$64,$A$64,1)-WEEKDAY(DATE($B$64,$A$64,1),2)+1)+10)=$B$64,MONTH((DATE($B$64,$A$64,1)-WEEKDAY(DATE($B$64,$A$64,1),2)+1)+10)=$A$64),((DATE($B$64,$A$64,1)-WEEKDAY(DATE($B$64,$A$64,1),2)+1)+10), "")</f>
        <v>42831</v>
      </c>
      <c r="K64" s="196">
        <f>IF(AND(YEAR((DATE($B$64,$A$64,1)-WEEKDAY(DATE($B$64,$A$64,1),2)+1)+11)=$B$64,MONTH((DATE($B$64,$A$64,1)-WEEKDAY(DATE($B$64,$A$64,1),2)+1)+11)=$A$64),((DATE($B$64,$A$64,1)-WEEKDAY(DATE($B$64,$A$64,1),2)+1)+11), "")</f>
        <v>42832</v>
      </c>
      <c r="L64" s="197">
        <f>IF(AND(YEAR((DATE($B$64,$A$64,1)-WEEKDAY(DATE($B$64,$A$64,1),2)+1)+12)=$B$64,MONTH((DATE($B$64,$A$64,1)-WEEKDAY(DATE($B$64,$A$64,1),2)+1)+12)=$A$64),((DATE($B$64,$A$64,1)-WEEKDAY(DATE($B$64,$A$64,1),2)+1)+12), "")</f>
        <v>42833</v>
      </c>
      <c r="M64" s="198">
        <f>IF(AND(YEAR((DATE($B$64,$A$64,1)-WEEKDAY(DATE($B$64,$A$64,1),2)+1)+13)=$B$64,MONTH((DATE($B$64,$A$64,1)-WEEKDAY(DATE($B$64,$A$64,1),2)+1)+13)=$A$64),((DATE($B$64,$A$64,1)-WEEKDAY(DATE($B$64,$A$64,1),2)+1)+13), "")</f>
        <v>42834</v>
      </c>
      <c r="N64" s="155"/>
      <c r="O64" s="230">
        <f>WEEKNUM(P64,21)</f>
        <v>19</v>
      </c>
      <c r="P64" s="196">
        <f>IF(AND(YEAR((DATE($B$65,$A$65,1)-WEEKDAY(DATE($B$65,$A$65,1),2)+1)+7)=$B$65,MONTH((DATE($B$65,$A$65,1)-WEEKDAY(DATE($B$65,$A$65,1),2)+1)+7)=$A$65),((DATE($B$65,$A$65,1)-WEEKDAY(DATE($B$65,$A$65,1),2)+1)+7), "")</f>
        <v>42863</v>
      </c>
      <c r="Q64" s="196">
        <f>IF(AND(YEAR((DATE($B$65,$A$65,1)-WEEKDAY(DATE($B$65,$A$65,1),2)+1)+8)=$B$65,MONTH((DATE($B$65,$A$65,1)-WEEKDAY(DATE($B$65,$A$65,1),2)+1)+8)=$A$65),((DATE($B$65,$A$65,1)-WEEKDAY(DATE($B$65,$A$65,1),2)+1)+8), "")</f>
        <v>42864</v>
      </c>
      <c r="R64" s="196">
        <f>IF(AND(YEAR((DATE($B$65,$A$65,1)-WEEKDAY(DATE($B$65,$A$65,1),2)+1)+9)=$B$65,MONTH((DATE($B$65,$A$65,1)-WEEKDAY(DATE($B$65,$A$65,1),2)+1)+9)=$A$65),((DATE($B$65,$A$65,1)-WEEKDAY(DATE($B$65,$A$65,1),2)+1)+9), "")</f>
        <v>42865</v>
      </c>
      <c r="S64" s="196">
        <f>IF(AND(YEAR((DATE($B$65,$A$65,1)-WEEKDAY(DATE($B$65,$A$65,1),2)+1)+10)=$B$65,MONTH((DATE($B$65,$A$65,1)-WEEKDAY(DATE($B$65,$A$65,1),2)+1)+10)=$A$65),((DATE($B$65,$A$65,1)-WEEKDAY(DATE($B$65,$A$65,1),2)+1)+10), "")</f>
        <v>42866</v>
      </c>
      <c r="T64" s="196">
        <f>IF(AND(YEAR((DATE($B$65,$A$65,1)-WEEKDAY(DATE($B$65,$A$65,1),2)+1)+11)=$B$65,MONTH((DATE($B$65,$A$65,1)-WEEKDAY(DATE($B$65,$A$65,1),2)+1)+11)=$A$65),((DATE($B$65,$A$65,1)-WEEKDAY(DATE($B$65,$A$65,1),2)+1)+11), "")</f>
        <v>42867</v>
      </c>
      <c r="U64" s="221">
        <f>IF(AND(YEAR((DATE($B$65,$A$65,1)-WEEKDAY(DATE($B$65,$A$65,1),2)+1)+12)=$B$65,MONTH((DATE($B$65,$A$65,1)-WEEKDAY(DATE($B$65,$A$65,1),2)+1)+12)=$A$65),((DATE($B$65,$A$65,1)-WEEKDAY(DATE($B$65,$A$65,1),2)+1)+12), "")</f>
        <v>42868</v>
      </c>
      <c r="V64" s="221"/>
      <c r="W64" s="198">
        <f>IF(AND(YEAR((DATE($B$65,$A$65,1)-WEEKDAY(DATE($B$65,$A$65,1),2)+1)+13)=$B$65,MONTH((DATE($B$65,$A$65,1)-WEEKDAY(DATE($B$65,$A$65,1),2)+1)+13)=$A$65),((DATE($B$65,$A$65,1)-WEEKDAY(DATE($B$65,$A$65,1),2)+1)+13), "")</f>
        <v>42869</v>
      </c>
      <c r="X64" s="155"/>
      <c r="Y64" s="230">
        <f>WEEKNUM(Z64,21)</f>
        <v>23</v>
      </c>
      <c r="Z64" s="196">
        <f>IF(AND(YEAR((DATE($B$66,$A$66,1)-WEEKDAY(DATE($B$66,$A$66,1),2)+1)+7)=$B$66,MONTH((DATE($B$66,$A$66,1)-WEEKDAY(DATE($B$66,$A$66,1),2)+1)+7)=$A$66),((DATE($B$66,$A$66,1)-WEEKDAY(DATE($B$66,$A$66,1),2)+1)+7), "")</f>
        <v>42891</v>
      </c>
      <c r="AA64" s="196">
        <f>IF(AND(YEAR((DATE($B$66,$A$66,1)-WEEKDAY(DATE($B$66,$A$66,1),2)+1)+8)=$B$66,MONTH((DATE($B$66,$A$66,1)-WEEKDAY(DATE($B$66,$A$66,1),2)+1)+8)=$A$66),((DATE($B$66,$A$66,1)-WEEKDAY(DATE($B$66,$A$66,1),2)+1)+8), "")</f>
        <v>42892</v>
      </c>
      <c r="AB64" s="196">
        <f>IF(AND(YEAR((DATE($B$66,$A$66,1)-WEEKDAY(DATE($B$66,$A$66,1),2)+1)+9)=$B$66,MONTH((DATE($B$66,$A$66,1)-WEEKDAY(DATE($B$66,$A$66,1),2)+1)+9)=$A$66),((DATE($B$66,$A$66,1)-WEEKDAY(DATE($B$66,$A$66,1),2)+1)+9), "")</f>
        <v>42893</v>
      </c>
      <c r="AC64" s="196">
        <f>IF(AND(YEAR((DATE($B$66,$A$66,1)-WEEKDAY(DATE($B$66,$A$66,1),2)+1)+10)=$B$66,MONTH((DATE($B$66,$A$66,1)-WEEKDAY(DATE($B$66,$A$66,1),2)+1)+10)=$A$66),((DATE($B$66,$A$66,1)-WEEKDAY(DATE($B$66,$A$66,1),2)+1)+10), "")</f>
        <v>42894</v>
      </c>
      <c r="AD64" s="196">
        <f>IF(AND(YEAR((DATE($B$66,$A$66,1)-WEEKDAY(DATE($B$66,$A$66,1),2)+1)+11)=$B$66,MONTH((DATE($B$66,$A$66,1)-WEEKDAY(DATE($B$66,$A$66,1),2)+1)+11)=$A$66),((DATE($B$66,$A$66,1)-WEEKDAY(DATE($B$66,$A$66,1),2)+1)+11), "")</f>
        <v>42895</v>
      </c>
      <c r="AE64" s="197">
        <f>IF(AND(YEAR((DATE($B$66,$A$66,1)-WEEKDAY(DATE($B$66,$A$66,1),2)+1)+12)=$B$66,MONTH((DATE($B$66,$A$66,1)-WEEKDAY(DATE($B$66,$A$66,1),2)+1)+12)=$A$66),((DATE($B$66,$A$66,1)-WEEKDAY(DATE($B$66,$A$66,1),2)+1)+12), "")</f>
        <v>42896</v>
      </c>
      <c r="AF64" s="198">
        <f>IF(AND(YEAR((DATE($B$66,$A$66,1)-WEEKDAY(DATE($B$66,$A$66,1),2)+1)+13)=$B$66,MONTH((DATE($B$66,$A$66,1)-WEEKDAY(DATE($B$66,$A$66,1),2)+1)+13)=$A$66),((DATE($B$66,$A$66,1)-WEEKDAY(DATE($B$66,$A$66,1),2)+1)+13), "")</f>
        <v>42897</v>
      </c>
      <c r="AG64" s="155"/>
      <c r="AH64" s="230">
        <f>WEEKNUM(AI64,21)</f>
        <v>27</v>
      </c>
      <c r="AI64" s="196">
        <f>IF(AND(YEAR((DATE($B$67,$A$67,1)-WEEKDAY(DATE($B$67,$A$67,1),2)+1)+7)=$B$67,MONTH((DATE($B$67,$A$67,1)-WEEKDAY(DATE($B$67,$A$67,1),2)+1)+7)=$A$67),((DATE($B$67,$A$67,1)-WEEKDAY(DATE($B$67,$A$67,1),2)+1)+7), "")</f>
        <v>42919</v>
      </c>
      <c r="AJ64" s="196">
        <f>IF(AND(YEAR((DATE($B$67,$A$67,1)-WEEKDAY(DATE($B$67,$A$67,1),2)+1)+8)=$B$67,MONTH((DATE($B$67,$A$67,1)-WEEKDAY(DATE($B$67,$A$67,1),2)+1)+8)=$A$67),((DATE($B$67,$A$67,1)-WEEKDAY(DATE($B$67,$A$67,1),2)+1)+8), "")</f>
        <v>42920</v>
      </c>
      <c r="AK64" s="196">
        <f>IF(AND(YEAR((DATE($B$67,$A$67,1)-WEEKDAY(DATE($B$67,$A$67,1),2)+1)+9)=$B$67,MONTH((DATE($B$67,$A$67,1)-WEEKDAY(DATE($B$67,$A$67,1),2)+1)+9)=$A$67),((DATE($B$67,$A$67,1)-WEEKDAY(DATE($B$67,$A$67,1),2)+1)+9), "")</f>
        <v>42921</v>
      </c>
      <c r="AL64" s="196">
        <f>IF(AND(YEAR((DATE($B$67,$A$67,1)-WEEKDAY(DATE($B$67,$A$67,1),2)+1)+10)=$B$67,MONTH((DATE($B$67,$A$67,1)-WEEKDAY(DATE($B$67,$A$67,1),2)+1)+10)=$A$67),((DATE($B$67,$A$67,1)-WEEKDAY(DATE($B$67,$A$67,1),2)+1)+10), "")</f>
        <v>42922</v>
      </c>
      <c r="AM64" s="196">
        <f>IF(AND(YEAR((DATE($B$67,$A$67,1)-WEEKDAY(DATE($B$67,$A$67,1),2)+1)+11)=$B$67,MONTH((DATE($B$67,$A$67,1)-WEEKDAY(DATE($B$67,$A$67,1),2)+1)+11)=$A$67),((DATE($B$67,$A$67,1)-WEEKDAY(DATE($B$67,$A$67,1),2)+1)+11), "")</f>
        <v>42923</v>
      </c>
      <c r="AN64" s="197">
        <f>IF(AND(YEAR((DATE($B$67,$A$67,1)-WEEKDAY(DATE($B$67,$A$67,1),2)+1)+12)=$B$67,MONTH((DATE($B$67,$A$67,1)-WEEKDAY(DATE($B$67,$A$67,1),2)+1)+12)=$A$67),((DATE($B$67,$A$67,1)-WEEKDAY(DATE($B$67,$A$67,1),2)+1)+12), "")</f>
        <v>42924</v>
      </c>
      <c r="AO64" s="198">
        <f>IF(AND(YEAR((DATE($B$67,$A$67,1)-WEEKDAY(DATE($B$67,$A$67,1),2)+1)+13)=$B$67,MONTH((DATE($B$67,$A$67,1)-WEEKDAY(DATE($B$67,$A$67,1),2)+1)+13)=$A$67),((DATE($B$67,$A$67,1)-WEEKDAY(DATE($B$67,$A$67,1),2)+1)+13), "")</f>
        <v>42925</v>
      </c>
      <c r="AQ64" s="202" t="s">
        <v>169</v>
      </c>
      <c r="AR64" s="203">
        <f>IF(B19=TRUE,Q38-R36,0)</f>
        <v>20</v>
      </c>
    </row>
    <row r="65" spans="1:44" x14ac:dyDescent="0.25">
      <c r="A65" s="161">
        <f>IF(A64=12,1,A64+1)</f>
        <v>5</v>
      </c>
      <c r="B65" s="159">
        <f>IF(A64=12,B64+1,B64)</f>
        <v>2017</v>
      </c>
      <c r="C65" s="159"/>
      <c r="D65" s="160"/>
      <c r="F65" s="230">
        <f t="shared" ref="F65:F68" si="0">WEEKNUM(G65,21)</f>
        <v>15</v>
      </c>
      <c r="G65" s="196">
        <f>IF(AND(YEAR((DATE($B$64,$A$64,1)-WEEKDAY(DATE($B$64,$A$64,1),2)+1)+14)=$B$64,MONTH((DATE($B$64,$A$64,1)-WEEKDAY(DATE($B$64,$A$64,1),2)+1)+14)=$A$64),((DATE($B$64,$A$64,1)-WEEKDAY(DATE($B$64,$A$64,1),2)+1)+14), "")</f>
        <v>42835</v>
      </c>
      <c r="H65" s="196">
        <f>IF(AND(YEAR((DATE($B$64,$A$64,1)-WEEKDAY(DATE($B$64,$A$64,1),2)+1)+15)=$B$64,MONTH((DATE($B$64,$A$64,1)-WEEKDAY(DATE($B$64,$A$64,1),2)+1)+15)=$A$64),((DATE($B$64,$A$64,1)-WEEKDAY(DATE($B$64,$A$64,1),2)+1)+15), "")</f>
        <v>42836</v>
      </c>
      <c r="I65" s="196">
        <f>IF(AND(YEAR((DATE($B$64,$A$64,1)-WEEKDAY(DATE($B$64,$A$64,1),2)+1)+16)=$B$64,MONTH((DATE($B$64,$A$64,1)-WEEKDAY(DATE($B$64,$A$64,1),2)+1)+16)=$A$64),((DATE($B$64,$A$64,1)-WEEKDAY(DATE($B$64,$A$64,1),2)+1)+16), "")</f>
        <v>42837</v>
      </c>
      <c r="J65" s="196">
        <f>IF(AND(YEAR((DATE($B$64,$A$64,1)-WEEKDAY(DATE($B$64,$A$64,1),2)+1)+17)=$B$64,MONTH((DATE($B$64,$A$64,1)-WEEKDAY(DATE($B$64,$A$64,1),2)+1)+17)=$A$64),((DATE($B$64,$A$64,1)-WEEKDAY(DATE($B$64,$A$64,1),2)+1)+17), "")</f>
        <v>42838</v>
      </c>
      <c r="K65" s="196">
        <f>IF(AND(YEAR((DATE($B$64,$A$64,1)-WEEKDAY(DATE($B$64,$A$64,1),2)+1)+18)=$B$64,MONTH((DATE($B$64,$A$64,1)-WEEKDAY(DATE($B$64,$A$64,1),2)+1)+18)=$A$64),((DATE($B$64,$A$64,1)-WEEKDAY(DATE($B$64,$A$64,1),2)+1)+18), "")</f>
        <v>42839</v>
      </c>
      <c r="L65" s="197">
        <f>IF(AND(YEAR((DATE($B$64,$A$64,1)-WEEKDAY(DATE($B$64,$A$64,1),2)+1)+19)=$B$64,MONTH((DATE($B$64,$A$64,1)-WEEKDAY(DATE($B$64,$A$64,1),2)+1)+19)=$A$64),((DATE($B$64,$A$64,1)-WEEKDAY(DATE($B$64,$A$64,1),2)+1)+19), "")</f>
        <v>42840</v>
      </c>
      <c r="M65" s="198">
        <f>IF(AND(YEAR((DATE($B$64,$A$64,1)-WEEKDAY(DATE($B$64,$A$64,1),2)+1)+20)=$B$64,MONTH((DATE($B$64,$A$64,1)-WEEKDAY(DATE($B$64,$A$64,1),2)+1)+20)=$A$64),((DATE($B$64,$A$64,1)-WEEKDAY(DATE($B$64,$A$64,1),2)+1)+20), "")</f>
        <v>42841</v>
      </c>
      <c r="N65" s="155"/>
      <c r="O65" s="230">
        <f t="shared" ref="O65:O67" si="1">WEEKNUM(P65,21)</f>
        <v>20</v>
      </c>
      <c r="P65" s="196">
        <f>IF(AND(YEAR((DATE($B$65,$A$65,1)-WEEKDAY(DATE($B$65,$A$65,1),2)+1)+14)=$B$65,MONTH((DATE($B$65,$A$65,1)-WEEKDAY(DATE($B$65,$A$65,1),2)+1)+14)=$A$65),((DATE($B$65,$A$65,1)-WEEKDAY(DATE($B$65,$A$65,1),2)+1)+14), "")</f>
        <v>42870</v>
      </c>
      <c r="Q65" s="196">
        <f>IF(AND(YEAR((DATE($B$65,$A$65,1)-WEEKDAY(DATE($B$65,$A$65,1),2)+1)+15)=$B$65,MONTH((DATE($B$65,$A$65,1)-WEEKDAY(DATE($B$65,$A$65,1),2)+1)+15)=$A$65),((DATE($B$65,$A$65,1)-WEEKDAY(DATE($B$65,$A$65,1),2)+1)+15), "")</f>
        <v>42871</v>
      </c>
      <c r="R65" s="196">
        <f>IF(AND(YEAR((DATE($B$65,$A$65,1)-WEEKDAY(DATE($B$65,$A$65,1),2)+1)+16)=$B$65,MONTH((DATE($B$65,$A$65,1)-WEEKDAY(DATE($B$65,$A$65,1),2)+1)+16)=$A$65),((DATE($B$65,$A$65,1)-WEEKDAY(DATE($B$65,$A$65,1),2)+1)+16), "")</f>
        <v>42872</v>
      </c>
      <c r="S65" s="196">
        <f>IF(AND(YEAR((DATE($B$65,$A$65,1)-WEEKDAY(DATE($B$65,$A$65,1),2)+1)+17)=$B$65,MONTH((DATE($B$65,$A$65,1)-WEEKDAY(DATE($B$65,$A$65,1),2)+1)+17)=$A$65),((DATE($B$65,$A$65,1)-WEEKDAY(DATE($B$65,$A$65,1),2)+1)+17), "")</f>
        <v>42873</v>
      </c>
      <c r="T65" s="196">
        <f>IF(AND(YEAR((DATE($B$65,$A$65,1)-WEEKDAY(DATE($B$65,$A$65,1),2)+1)+18)=$B$65,MONTH((DATE($B$65,$A$65,1)-WEEKDAY(DATE($B$65,$A$65,1),2)+1)+18)=$A$65),((DATE($B$65,$A$65,1)-WEEKDAY(DATE($B$65,$A$65,1),2)+1)+18), "")</f>
        <v>42874</v>
      </c>
      <c r="U65" s="221">
        <f>IF(AND(YEAR((DATE($B$65,$A$65,1)-WEEKDAY(DATE($B$65,$A$65,1),2)+1)+19)=$B$65,MONTH((DATE($B$65,$A$65,1)-WEEKDAY(DATE($B$65,$A$65,1),2)+1)+19)=$A$65),((DATE($B$65,$A$65,1)-WEEKDAY(DATE($B$65,$A$65,1),2)+1)+19), "")</f>
        <v>42875</v>
      </c>
      <c r="V65" s="221"/>
      <c r="W65" s="198">
        <f>IF(AND(YEAR((DATE($B$65,$A$65,1)-WEEKDAY(DATE($B$65,$A$65,1),2)+1)+20)=$B$65,MONTH((DATE($B$65,$A$65,1)-WEEKDAY(DATE($B$65,$A$65,1),2)+1)+20)=$A$65),((DATE($B$65,$A$65,1)-WEEKDAY(DATE($B$65,$A$65,1),2)+1)+20), "")</f>
        <v>42876</v>
      </c>
      <c r="X65" s="155"/>
      <c r="Y65" s="230">
        <f t="shared" ref="Y65:Y67" si="2">WEEKNUM(Z65,21)</f>
        <v>24</v>
      </c>
      <c r="Z65" s="196">
        <f>IF(AND(YEAR((DATE($B$66,$A$66,1)-WEEKDAY(DATE($B$66,$A$66,1),2)+1)+14)=$B$66,MONTH((DATE($B$66,$A$66,1)-WEEKDAY(DATE($B$66,$A$66,1),2)+1)+14)=$A$66),((DATE($B$66,$A$66,1)-WEEKDAY(DATE($B$66,$A$66,1),2)+1)+14), "")</f>
        <v>42898</v>
      </c>
      <c r="AA65" s="196">
        <f>IF(AND(YEAR((DATE($B$66,$A$66,1)-WEEKDAY(DATE($B$66,$A$66,1),2)+1)+15)=$B$66,MONTH((DATE($B$66,$A$66,1)-WEEKDAY(DATE($B$66,$A$66,1),2)+1)+15)=$A$66),((DATE($B$66,$A$66,1)-WEEKDAY(DATE($B$66,$A$66,1),2)+1)+15), "")</f>
        <v>42899</v>
      </c>
      <c r="AB65" s="196">
        <f>IF(AND(YEAR((DATE($B$66,$A$66,1)-WEEKDAY(DATE($B$66,$A$66,1),2)+1)+16)=$B$66,MONTH((DATE($B$66,$A$66,1)-WEEKDAY(DATE($B$66,$A$66,1),2)+1)+16)=$A$66),((DATE($B$66,$A$66,1)-WEEKDAY(DATE($B$66,$A$66,1),2)+1)+16), "")</f>
        <v>42900</v>
      </c>
      <c r="AC65" s="196">
        <f>IF(AND(YEAR((DATE($B$66,$A$66,1)-WEEKDAY(DATE($B$66,$A$66,1),2)+1)+17)=$B$66,MONTH((DATE($B$66,$A$66,1)-WEEKDAY(DATE($B$66,$A$66,1),2)+1)+17)=$A$66),((DATE($B$66,$A$66,1)-WEEKDAY(DATE($B$66,$A$66,1),2)+1)+17), "")</f>
        <v>42901</v>
      </c>
      <c r="AD65" s="196">
        <f>IF(AND(YEAR((DATE($B$66,$A$66,1)-WEEKDAY(DATE($B$66,$A$66,1),2)+1)+18)=$B$66,MONTH((DATE($B$66,$A$66,1)-WEEKDAY(DATE($B$66,$A$66,1),2)+1)+18)=$A$66),((DATE($B$66,$A$66,1)-WEEKDAY(DATE($B$66,$A$66,1),2)+1)+18), "")</f>
        <v>42902</v>
      </c>
      <c r="AE65" s="197">
        <f>IF(AND(YEAR((DATE($B$66,$A$66,1)-WEEKDAY(DATE($B$66,$A$66,1),2)+1)+19)=$B$66,MONTH((DATE($B$66,$A$66,1)-WEEKDAY(DATE($B$66,$A$66,1),2)+1)+19)=$A$66),((DATE($B$66,$A$66,1)-WEEKDAY(DATE($B$66,$A$66,1),2)+1)+19), "")</f>
        <v>42903</v>
      </c>
      <c r="AF65" s="198">
        <f>IF(AND(YEAR((DATE($B$66,$A$66,1)-WEEKDAY(DATE($B$66,$A$66,1),2)+1)+20)=$B$66,MONTH((DATE($B$66,$A$66,1)-WEEKDAY(DATE($B$66,$A$66,1),2)+1)+20)=$A$66),((DATE($B$66,$A$66,1)-WEEKDAY(DATE($B$66,$A$66,1),2)+1)+20), "")</f>
        <v>42904</v>
      </c>
      <c r="AG65" s="155"/>
      <c r="AH65" s="230">
        <f t="shared" ref="AH65:AH67" si="3">WEEKNUM(AI65,21)</f>
        <v>28</v>
      </c>
      <c r="AI65" s="196">
        <f>IF(AND(YEAR((DATE($B$67,$A$67,1)-WEEKDAY(DATE($B$67,$A$67,1),2)+1)+14)=$B$67,MONTH((DATE($B$67,$A$67,1)-WEEKDAY(DATE($B$67,$A$67,1),2)+1)+14)=$A$67),((DATE($B$67,$A$67,1)-WEEKDAY(DATE($B$67,$A$67,1),2)+1)+14), "")</f>
        <v>42926</v>
      </c>
      <c r="AJ65" s="196">
        <f>IF(AND(YEAR((DATE($B$67,$A$67,1)-WEEKDAY(DATE($B$67,$A$67,1),2)+1)+15)=$B$67,MONTH((DATE($B$67,$A$67,1)-WEEKDAY(DATE($B$67,$A$67,1),2)+1)+15)=$A$67),((DATE($B$67,$A$67,1)-WEEKDAY(DATE($B$67,$A$67,1),2)+1)+15), "")</f>
        <v>42927</v>
      </c>
      <c r="AK65" s="196">
        <f>IF(AND(YEAR((DATE($B$67,$A$67,1)-WEEKDAY(DATE($B$67,$A$67,1),2)+1)+16)=$B$67,MONTH((DATE($B$67,$A$67,1)-WEEKDAY(DATE($B$67,$A$67,1),2)+1)+16)=$A$67),((DATE($B$67,$A$67,1)-WEEKDAY(DATE($B$67,$A$67,1),2)+1)+16), "")</f>
        <v>42928</v>
      </c>
      <c r="AL65" s="196">
        <f>IF(AND(YEAR((DATE($B$67,$A$67,1)-WEEKDAY(DATE($B$67,$A$67,1),2)+1)+17)=$B$67,MONTH((DATE($B$67,$A$67,1)-WEEKDAY(DATE($B$67,$A$67,1),2)+1)+17)=$A$67),((DATE($B$67,$A$67,1)-WEEKDAY(DATE($B$67,$A$67,1),2)+1)+17), "")</f>
        <v>42929</v>
      </c>
      <c r="AM65" s="196">
        <f>IF(AND(YEAR((DATE($B$67,$A$67,1)-WEEKDAY(DATE($B$67,$A$67,1),2)+1)+18)=$B$67,MONTH((DATE($B$67,$A$67,1)-WEEKDAY(DATE($B$67,$A$67,1),2)+1)+18)=$A$67),((DATE($B$67,$A$67,1)-WEEKDAY(DATE($B$67,$A$67,1),2)+1)+18), "")</f>
        <v>42930</v>
      </c>
      <c r="AN65" s="197">
        <f>IF(AND(YEAR((DATE($B$67,$A$67,1)-WEEKDAY(DATE($B$67,$A$67,1),2)+1)+19)=$B$67,MONTH((DATE($B$67,$A$67,1)-WEEKDAY(DATE($B$67,$A$67,1),2)+1)+19)=$A$67),((DATE($B$67,$A$67,1)-WEEKDAY(DATE($B$67,$A$67,1),2)+1)+19), "")</f>
        <v>42931</v>
      </c>
      <c r="AO65" s="198">
        <f>IF(AND(YEAR((DATE($B$67,$A$67,1)-WEEKDAY(DATE($B$67,$A$67,1),2)+1)+20)=$B$67,MONTH((DATE($B$67,$A$67,1)-WEEKDAY(DATE($B$67,$A$67,1),2)+1)+20)=$A$67),((DATE($B$67,$A$67,1)-WEEKDAY(DATE($B$67,$A$67,1),2)+1)+20), "")</f>
        <v>42932</v>
      </c>
      <c r="AQ65" s="204"/>
      <c r="AR65" s="203"/>
    </row>
    <row r="66" spans="1:44" x14ac:dyDescent="0.25">
      <c r="A66" s="161">
        <f t="shared" ref="A66:A72" si="4">IF(A65=12,1,A65+1)</f>
        <v>6</v>
      </c>
      <c r="B66" s="159">
        <f t="shared" ref="B66:B72" si="5">IF(A65=12,B65+1,B65)</f>
        <v>2017</v>
      </c>
      <c r="C66" s="159"/>
      <c r="D66" s="160"/>
      <c r="F66" s="230">
        <f t="shared" si="0"/>
        <v>16</v>
      </c>
      <c r="G66" s="196">
        <f>IF(AND(YEAR((DATE($B$64,$A$64,1)-WEEKDAY(DATE($B$64,$A$64,1),2)+1)+21)=$B$64,MONTH((DATE($B$64,$A$64,1)-WEEKDAY(DATE($B$64,$A$64,1),2)+1)+21)=$A$64),((DATE($B$64,$A$64,1)-WEEKDAY(DATE($B$64,$A$64,1),2)+1)+21), "")</f>
        <v>42842</v>
      </c>
      <c r="H66" s="196">
        <f>IF(AND(YEAR((DATE($B$64,$A$64,1)-WEEKDAY(DATE($B$64,$A$64,1),2)+1)+22)=$B$64,MONTH((DATE($B$64,$A$64,1)-WEEKDAY(DATE($B$64,$A$64,1),2)+1)+22)=$A$64),((DATE($B$64,$A$64,1)-WEEKDAY(DATE($B$64,$A$64,1),2)+1)+22), "")</f>
        <v>42843</v>
      </c>
      <c r="I66" s="196">
        <f>IF(AND(YEAR((DATE($B$64,$A$64,1)-WEEKDAY(DATE($B$64,$A$64,1),2)+1)+23)=$B$64,MONTH((DATE($B$64,$A$64,1)-WEEKDAY(DATE($B$64,$A$64,1),2)+1)+23)=$A$64),((DATE($B$64,$A$64,1)-WEEKDAY(DATE($B$64,$A$64,1),2)+1)+23), "")</f>
        <v>42844</v>
      </c>
      <c r="J66" s="196">
        <f>IF(AND(YEAR((DATE($B$64,$A$64,1)-WEEKDAY(DATE($B$64,$A$64,1),2)+1)+24)=$B$64,MONTH((DATE($B$64,$A$64,1)-WEEKDAY(DATE($B$64,$A$64,1),2)+1)+24)=$A$64),((DATE($B$64,$A$64,1)-WEEKDAY(DATE($B$64,$A$64,1),2)+1)+24), "")</f>
        <v>42845</v>
      </c>
      <c r="K66" s="196">
        <f>IF(AND(YEAR((DATE($B$64,$A$64,1)-WEEKDAY(DATE($B$64,$A$64,1),2)+1)+25)=$B$64,MONTH((DATE($B$64,$A$64,1)-WEEKDAY(DATE($B$64,$A$64,1),2)+1)+25)=$A$64),((DATE($B$64,$A$64,1)-WEEKDAY(DATE($B$64,$A$64,1),2)+1)+25), "")</f>
        <v>42846</v>
      </c>
      <c r="L66" s="197">
        <f>IF(AND(YEAR((DATE($B$64,$A$64,1)-WEEKDAY(DATE($B$64,$A$64,1),2)+1)+26)=$B$64,MONTH((DATE($B$64,$A$64,1)-WEEKDAY(DATE($B$64,$A$64,1),2)+1)+26)=$A$64),((DATE($B$64,$A$64,1)-WEEKDAY(DATE($B$64,$A$64,1),2)+1)+26), "")</f>
        <v>42847</v>
      </c>
      <c r="M66" s="198">
        <f>IF(AND(YEAR((DATE($B$64,$A$64,1)-WEEKDAY(DATE($B$64,$A$64,1),2)+1)+27)=$B$64,MONTH((DATE($B$64,$A$64,1)-WEEKDAY(DATE($B$64,$A$64,1),2)+1)+27)=$A$64),((DATE($B$64,$A$64,1)-WEEKDAY(DATE($B$64,$A$64,1),2)+1)+27), "")</f>
        <v>42848</v>
      </c>
      <c r="N66" s="155"/>
      <c r="O66" s="230">
        <f t="shared" si="1"/>
        <v>21</v>
      </c>
      <c r="P66" s="196">
        <f>IF(AND(YEAR((DATE($B$65,$A$65,1)-WEEKDAY(DATE($B$65,$A$65,1),2)+1)+21)=$B$65,MONTH((DATE($B$65,$A$65,1)-WEEKDAY(DATE($B$65,$A$65,1),2)+1)+21)=$A$65),((DATE($B$65,$A$65,1)-WEEKDAY(DATE($B$65,$A$65,1),2)+1)+21), "")</f>
        <v>42877</v>
      </c>
      <c r="Q66" s="196">
        <f>IF(AND(YEAR((DATE($B$65,$A$65,1)-WEEKDAY(DATE($B$65,$A$65,1),2)+1)+22)=$B$65,MONTH((DATE($B$65,$A$65,1)-WEEKDAY(DATE($B$65,$A$65,1),2)+1)+22)=$A$65),((DATE($B$65,$A$65,1)-WEEKDAY(DATE($B$65,$A$65,1),2)+1)+22), "")</f>
        <v>42878</v>
      </c>
      <c r="R66" s="196">
        <f>IF(AND(YEAR((DATE($B$65,$A$65,1)-WEEKDAY(DATE($B$65,$A$65,1),2)+1)+23)=$B$65,MONTH((DATE($B$65,$A$65,1)-WEEKDAY(DATE($B$65,$A$65,1),2)+1)+23)=$A$65),((DATE($B$65,$A$65,1)-WEEKDAY(DATE($B$65,$A$65,1),2)+1)+23), "")</f>
        <v>42879</v>
      </c>
      <c r="S66" s="196">
        <f>IF(AND(YEAR((DATE($B$65,$A$65,1)-WEEKDAY(DATE($B$65,$A$65,1),2)+1)+24)=$B$65,MONTH((DATE($B$65,$A$65,1)-WEEKDAY(DATE($B$65,$A$65,1),2)+1)+24)=$A$65),((DATE($B$65,$A$65,1)-WEEKDAY(DATE($B$65,$A$65,1),2)+1)+24), "")</f>
        <v>42880</v>
      </c>
      <c r="T66" s="196">
        <f>IF(AND(YEAR((DATE($B$65,$A$65,1)-WEEKDAY(DATE($B$65,$A$65,1),2)+1)+25)=$B$65,MONTH((DATE($B$65,$A$65,1)-WEEKDAY(DATE($B$65,$A$65,1),2)+1)+25)=$A$65),((DATE($B$65,$A$65,1)-WEEKDAY(DATE($B$65,$A$65,1),2)+1)+25), "")</f>
        <v>42881</v>
      </c>
      <c r="U66" s="221">
        <f>IF(AND(YEAR((DATE($B$65,$A$65,1)-WEEKDAY(DATE($B$65,$A$65,1),2)+1)+26)=$B$65,MONTH((DATE($B$65,$A$65,1)-WEEKDAY(DATE($B$65,$A$65,1),2)+1)+26)=$A$65),((DATE($B$65,$A$65,1)-WEEKDAY(DATE($B$65,$A$65,1),2)+1)+26), "")</f>
        <v>42882</v>
      </c>
      <c r="V66" s="221"/>
      <c r="W66" s="198">
        <f>IF(AND(YEAR((DATE($B$65,$A$65,1)-WEEKDAY(DATE($B$65,$A$65,1),2)+1)+27)=$B$65,MONTH((DATE($B$65,$A$65,1)-WEEKDAY(DATE($B$65,$A$65,1),2)+1)+27)=$A$65),((DATE($B$65,$A$65,1)-WEEKDAY(DATE($B$65,$A$65,1),2)+1)+27), "")</f>
        <v>42883</v>
      </c>
      <c r="X66" s="155"/>
      <c r="Y66" s="230">
        <f t="shared" si="2"/>
        <v>25</v>
      </c>
      <c r="Z66" s="196">
        <f>IF(AND(YEAR((DATE($B$66,$A$66,1)-WEEKDAY(DATE($B$66,$A$66,1),2)+1)+21)=$B$66,MONTH((DATE($B$66,$A$66,1)-WEEKDAY(DATE($B$66,$A$66,1),2)+1)+21)=$A$66),((DATE($B$66,$A$66,1)-WEEKDAY(DATE($B$66,$A$66,1),2)+1)+21), "")</f>
        <v>42905</v>
      </c>
      <c r="AA66" s="196">
        <f>IF(AND(YEAR((DATE($B$66,$A$66,1)-WEEKDAY(DATE($B$66,$A$66,1),2)+1)+22)=$B$66,MONTH((DATE($B$66,$A$66,1)-WEEKDAY(DATE($B$66,$A$66,1),2)+1)+22)=$A$66),((DATE($B$66,$A$66,1)-WEEKDAY(DATE($B$66,$A$66,1),2)+1)+22), "")</f>
        <v>42906</v>
      </c>
      <c r="AB66" s="196">
        <f>IF(AND(YEAR((DATE($B$66,$A$66,1)-WEEKDAY(DATE($B$66,$A$66,1),2)+1)+23)=$B$66,MONTH((DATE($B$66,$A$66,1)-WEEKDAY(DATE($B$66,$A$66,1),2)+1)+23)=$A$66),((DATE($B$66,$A$66,1)-WEEKDAY(DATE($B$66,$A$66,1),2)+1)+23), "")</f>
        <v>42907</v>
      </c>
      <c r="AC66" s="196">
        <f>IF(AND(YEAR((DATE($B$66,$A$66,1)-WEEKDAY(DATE($B$66,$A$66,1),2)+1)+24)=$B$66,MONTH((DATE($B$66,$A$66,1)-WEEKDAY(DATE($B$66,$A$66,1),2)+1)+24)=$A$66),((DATE($B$66,$A$66,1)-WEEKDAY(DATE($B$66,$A$66,1),2)+1)+24), "")</f>
        <v>42908</v>
      </c>
      <c r="AD66" s="196">
        <f>IF(AND(YEAR((DATE($B$66,$A$66,1)-WEEKDAY(DATE($B$66,$A$66,1),2)+1)+25)=$B$66,MONTH((DATE($B$66,$A$66,1)-WEEKDAY(DATE($B$66,$A$66,1),2)+1)+25)=$A$66),((DATE($B$66,$A$66,1)-WEEKDAY(DATE($B$66,$A$66,1),2)+1)+25), "")</f>
        <v>42909</v>
      </c>
      <c r="AE66" s="197">
        <f>IF(AND(YEAR((DATE($B$66,$A$66,1)-WEEKDAY(DATE($B$66,$A$66,1),2)+1)+26)=$B$66,MONTH((DATE($B$66,$A$66,1)-WEEKDAY(DATE($B$66,$A$66,1),2)+1)+26)=$A$66),((DATE($B$66,$A$66,1)-WEEKDAY(DATE($B$66,$A$66,1),2)+1)+26), "")</f>
        <v>42910</v>
      </c>
      <c r="AF66" s="198">
        <f>IF(AND(YEAR((DATE($B$66,$A$66,1)-WEEKDAY(DATE($B$66,$A$66,1),2)+1)+27)=$B$66,MONTH((DATE($B$66,$A$66,1)-WEEKDAY(DATE($B$66,$A$66,1),2)+1)+27)=$A$66),((DATE($B$66,$A$66,1)-WEEKDAY(DATE($B$66,$A$66,1),2)+1)+27), "")</f>
        <v>42911</v>
      </c>
      <c r="AG66" s="155"/>
      <c r="AH66" s="230">
        <f t="shared" si="3"/>
        <v>29</v>
      </c>
      <c r="AI66" s="196">
        <f>IF(AND(YEAR((DATE($B$67,$A$67,1)-WEEKDAY(DATE($B$67,$A$67,1),2)+1)+21)=$B$67,MONTH((DATE($B$67,$A$67,1)-WEEKDAY(DATE($B$67,$A$67,1),2)+1)+21)=$A$67),((DATE($B$67,$A$67,1)-WEEKDAY(DATE($B$67,$A$67,1),2)+1)+21), "")</f>
        <v>42933</v>
      </c>
      <c r="AJ66" s="196">
        <f>IF(AND(YEAR((DATE($B$67,$A$67,1)-WEEKDAY(DATE($B$67,$A$67,1),2)+1)+22)=$B$67,MONTH((DATE($B$67,$A$67,1)-WEEKDAY(DATE($B$67,$A$67,1),2)+1)+22)=$A$67),((DATE($B$67,$A$67,1)-WEEKDAY(DATE($B$67,$A$67,1),2)+1)+22), "")</f>
        <v>42934</v>
      </c>
      <c r="AK66" s="196">
        <f>IF(AND(YEAR((DATE($B$67,$A$67,1)-WEEKDAY(DATE($B$67,$A$67,1),2)+1)+23)=$B$67,MONTH((DATE($B$67,$A$67,1)-WEEKDAY(DATE($B$67,$A$67,1),2)+1)+23)=$A$67),((DATE($B$67,$A$67,1)-WEEKDAY(DATE($B$67,$A$67,1),2)+1)+23), "")</f>
        <v>42935</v>
      </c>
      <c r="AL66" s="196">
        <f>IF(AND(YEAR((DATE($B$67,$A$67,1)-WEEKDAY(DATE($B$67,$A$67,1),2)+1)+24)=$B$67,MONTH((DATE($B$67,$A$67,1)-WEEKDAY(DATE($B$67,$A$67,1),2)+1)+24)=$A$67),((DATE($B$67,$A$67,1)-WEEKDAY(DATE($B$67,$A$67,1),2)+1)+24), "")</f>
        <v>42936</v>
      </c>
      <c r="AM66" s="196">
        <f>IF(AND(YEAR((DATE($B$67,$A$67,1)-WEEKDAY(DATE($B$67,$A$67,1),2)+1)+25)=$B$67,MONTH((DATE($B$67,$A$67,1)-WEEKDAY(DATE($B$67,$A$67,1),2)+1)+25)=$A$67),((DATE($B$67,$A$67,1)-WEEKDAY(DATE($B$67,$A$67,1),2)+1)+25), "")</f>
        <v>42937</v>
      </c>
      <c r="AN66" s="197">
        <f>IF(AND(YEAR((DATE($B$67,$A$67,1)-WEEKDAY(DATE($B$67,$A$67,1),2)+1)+26)=$B$67,MONTH((DATE($B$67,$A$67,1)-WEEKDAY(DATE($B$67,$A$67,1),2)+1)+26)=$A$67),((DATE($B$67,$A$67,1)-WEEKDAY(DATE($B$67,$A$67,1),2)+1)+26), "")</f>
        <v>42938</v>
      </c>
      <c r="AO66" s="198">
        <f>IF(AND(YEAR((DATE($B$67,$A$67,1)-WEEKDAY(DATE($B$67,$A$67,1),2)+1)+27)=$B$67,MONTH((DATE($B$67,$A$67,1)-WEEKDAY(DATE($B$67,$A$67,1),2)+1)+27)=$A$67),((DATE($B$67,$A$67,1)-WEEKDAY(DATE($B$67,$A$67,1),2)+1)+27), "")</f>
        <v>42939</v>
      </c>
      <c r="AQ66" s="202" t="s">
        <v>172</v>
      </c>
      <c r="AR66" s="203">
        <f>Q44-Q38</f>
        <v>35</v>
      </c>
    </row>
    <row r="67" spans="1:44" x14ac:dyDescent="0.25">
      <c r="A67" s="161">
        <f t="shared" si="4"/>
        <v>7</v>
      </c>
      <c r="B67" s="159">
        <f t="shared" si="5"/>
        <v>2017</v>
      </c>
      <c r="C67" s="159"/>
      <c r="D67" s="160"/>
      <c r="F67" s="230">
        <f t="shared" si="0"/>
        <v>17</v>
      </c>
      <c r="G67" s="196">
        <f>IF(AND(YEAR((DATE($B$64,$A$64,1)-WEEKDAY(DATE($B$64,$A$64,1),2)+1)+28)=$B$64,MONTH((DATE($B$64,$A$64,1)-WEEKDAY(DATE($B$64,$A$64,1),2)+1)+28)=$A$64),((DATE($B$64,$A$64,1)-WEEKDAY(DATE($B$64,$A$64,1),2)+1)+28), "")</f>
        <v>42849</v>
      </c>
      <c r="H67" s="196">
        <f>IF(AND(YEAR((DATE($B$64,$A$64,1)-WEEKDAY(DATE($B$64,$A$64,1),2)+1)+29)=$B$64,MONTH((DATE($B$64,$A$64,1)-WEEKDAY(DATE($B$64,$A$64,1),2)+1)+29)=$A$64),((DATE($B$64,$A$64,1)-WEEKDAY(DATE($B$64,$A$64,1),2)+1)+29), "")</f>
        <v>42850</v>
      </c>
      <c r="I67" s="196">
        <f>IF(AND(YEAR((DATE($B$64,$A$64,1)-WEEKDAY(DATE($B$64,$A$64,1),2)+1)+30)=$B$64,MONTH((DATE($B$64,$A$64,1)-WEEKDAY(DATE($B$64,$A$64,1),2)+1)+30)=$A$64),((DATE($B$64,$A$64,1)-WEEKDAY(DATE($B$64,$A$64,1),2)+1)+30), "")</f>
        <v>42851</v>
      </c>
      <c r="J67" s="196">
        <f>IF(AND(YEAR((DATE($B$64,$A$64,1)-WEEKDAY(DATE($B$64,$A$64,1),2)+1)+31)=$B$64,MONTH((DATE($B$64,$A$64,1)-WEEKDAY(DATE($B$64,$A$64,1),2)+1)+31)=$A$64),((DATE($B$64,$A$64,1)-WEEKDAY(DATE($B$64,$A$64,1),2)+1)+31), "")</f>
        <v>42852</v>
      </c>
      <c r="K67" s="196">
        <f>IF(AND(YEAR((DATE($B$64,$A$64,1)-WEEKDAY(DATE($B$64,$A$64,1),2)+1)+32)=$B$64,MONTH((DATE($B$64,$A$64,1)-WEEKDAY(DATE($B$64,$A$64,1),2)+1)+32)=$A$64),((DATE($B$64,$A$64,1)-WEEKDAY(DATE($B$64,$A$64,1),2)+1)+32), "")</f>
        <v>42853</v>
      </c>
      <c r="L67" s="197">
        <f>IF(AND(YEAR((DATE($B$64,$A$64,1)-WEEKDAY(DATE($B$64,$A$64,1),2)+1)+33)=$B$64,MONTH((DATE($B$64,$A$64,1)-WEEKDAY(DATE($B$64,$A$64,1),2)+1)+33)=$A$64),((DATE($B$64,$A$64,1)-WEEKDAY(DATE($B$64,$A$64,1),2)+1)+33), "")</f>
        <v>42854</v>
      </c>
      <c r="M67" s="198">
        <f>IF(AND(YEAR((DATE($B$64,$A$64,1)-WEEKDAY(DATE($B$64,$A$64,1),2)+1)+34)=$B$64,MONTH((DATE($B$64,$A$64,1)-WEEKDAY(DATE($B$64,$A$64,1),2)+1)+34)=$A$64),((DATE($B$64,$A$64,1)-WEEKDAY(DATE($B$64,$A$64,1),2)+1)+34), "")</f>
        <v>42855</v>
      </c>
      <c r="N67" s="155"/>
      <c r="O67" s="230">
        <f t="shared" si="1"/>
        <v>22</v>
      </c>
      <c r="P67" s="196">
        <f>IF(AND(YEAR((DATE($B$65,$A$65,1)-WEEKDAY(DATE($B$65,$A$65,1),2)+1)+28)=$B$65,MONTH((DATE($B$65,$A$65,1)-WEEKDAY(DATE($B$65,$A$65,1),2)+1)+28)=$A$65),((DATE($B$65,$A$65,1)-WEEKDAY(DATE($B$65,$A$65,1),2)+1)+28), "")</f>
        <v>42884</v>
      </c>
      <c r="Q67" s="196">
        <f>IF(AND(YEAR((DATE($B$65,$A$65,1)-WEEKDAY(DATE($B$65,$A$65,1),2)+1)+29)=$B$65,MONTH((DATE($B$65,$A$65,1)-WEEKDAY(DATE($B$65,$A$65,1),2)+1)+29)=$A$65),((DATE($B$65,$A$65,1)-WEEKDAY(DATE($B$65,$A$65,1),2)+1)+29), "")</f>
        <v>42885</v>
      </c>
      <c r="R67" s="196">
        <f>IF(AND(YEAR((DATE($B$65,$A$65,1)-WEEKDAY(DATE($B$65,$A$65,1),2)+1)+30)=$B$65,MONTH((DATE($B$65,$A$65,1)-WEEKDAY(DATE($B$65,$A$65,1),2)+1)+30)=$A$65),((DATE($B$65,$A$65,1)-WEEKDAY(DATE($B$65,$A$65,1),2)+1)+30), "")</f>
        <v>42886</v>
      </c>
      <c r="S67" s="196" t="str">
        <f>IF(AND(YEAR((DATE($B$65,$A$65,1)-WEEKDAY(DATE($B$65,$A$65,1),2)+1)+31)=$B$65,MONTH((DATE($B$65,$A$65,1)-WEEKDAY(DATE($B$65,$A$65,1),2)+1)+31)=$A$65),((DATE($B$65,$A$65,1)-WEEKDAY(DATE($B$65,$A$65,1),2)+1)+31), "")</f>
        <v/>
      </c>
      <c r="T67" s="196" t="str">
        <f>IF(AND(YEAR((DATE($B$65,$A$65,1)-WEEKDAY(DATE($B$65,$A$65,1),2)+1)+32)=$B$65,MONTH((DATE($B$65,$A$65,1)-WEEKDAY(DATE($B$65,$A$65,1),2)+1)+32)=$A$65),((DATE($B$65,$A$65,1)-WEEKDAY(DATE($B$65,$A$65,1),2)+1)+32), "")</f>
        <v/>
      </c>
      <c r="U67" s="221" t="str">
        <f>IF(AND(YEAR((DATE($B$65,$A$65,1)-WEEKDAY(DATE($B$65,$A$65,1),2)+1)+33)=$B$65,MONTH((DATE($B$65,$A$65,1)-WEEKDAY(DATE($B$65,$A$65,1),2)+1)+33)=$A$65),((DATE($B$65,$A$65,1)-WEEKDAY(DATE($B$65,$A$65,1),2)+1)+33), "")</f>
        <v/>
      </c>
      <c r="V67" s="221"/>
      <c r="W67" s="198" t="str">
        <f>IF(AND(YEAR((DATE($B$65,$A$65,1)-WEEKDAY(DATE($B$65,$A$65,1),2)+1)+34)=$B$65,MONTH((DATE($B$65,$A$65,1)-WEEKDAY(DATE($B$65,$A$65,1),2)+1)+34)=$A$65),((DATE($B$65,$A$65,1)-WEEKDAY(DATE($B$65,$A$65,1),2)+1)+34), "")</f>
        <v/>
      </c>
      <c r="X67" s="155"/>
      <c r="Y67" s="230">
        <f t="shared" si="2"/>
        <v>26</v>
      </c>
      <c r="Z67" s="196">
        <f>IF(AND(YEAR((DATE($B$66,$A$66,1)-WEEKDAY(DATE($B$66,$A$66,1),2)+1)+28)=$B$66,MONTH((DATE($B$66,$A$66,1)-WEEKDAY(DATE($B$66,$A$66,1),2)+1)+28)=$A$66),((DATE($B$66,$A$66,1)-WEEKDAY(DATE($B$66,$A$66,1),2)+1)+28), "")</f>
        <v>42912</v>
      </c>
      <c r="AA67" s="196">
        <f>IF(AND(YEAR((DATE($B$66,$A$66,1)-WEEKDAY(DATE($B$66,$A$66,1),2)+1)+29)=$B$66,MONTH((DATE($B$66,$A$66,1)-WEEKDAY(DATE($B$66,$A$66,1),2)+1)+29)=$A$66),((DATE($B$66,$A$66,1)-WEEKDAY(DATE($B$66,$A$66,1),2)+1)+29), "")</f>
        <v>42913</v>
      </c>
      <c r="AB67" s="196">
        <f>IF(AND(YEAR((DATE($B$66,$A$66,1)-WEEKDAY(DATE($B$66,$A$66,1),2)+1)+30)=$B$66,MONTH((DATE($B$66,$A$66,1)-WEEKDAY(DATE($B$66,$A$66,1),2)+1)+30)=$A$66),((DATE($B$66,$A$66,1)-WEEKDAY(DATE($B$66,$A$66,1),2)+1)+30), "")</f>
        <v>42914</v>
      </c>
      <c r="AC67" s="196">
        <f>IF(AND(YEAR((DATE($B$66,$A$66,1)-WEEKDAY(DATE($B$66,$A$66,1),2)+1)+31)=$B$66,MONTH((DATE($B$66,$A$66,1)-WEEKDAY(DATE($B$66,$A$66,1),2)+1)+31)=$A$66),((DATE($B$66,$A$66,1)-WEEKDAY(DATE($B$66,$A$66,1),2)+1)+31), "")</f>
        <v>42915</v>
      </c>
      <c r="AD67" s="196">
        <f>IF(AND(YEAR((DATE($B$66,$A$66,1)-WEEKDAY(DATE($B$66,$A$66,1),2)+1)+32)=$B$66,MONTH((DATE($B$66,$A$66,1)-WEEKDAY(DATE($B$66,$A$66,1),2)+1)+32)=$A$66),((DATE($B$66,$A$66,1)-WEEKDAY(DATE($B$66,$A$66,1),2)+1)+32), "")</f>
        <v>42916</v>
      </c>
      <c r="AE67" s="197" t="str">
        <f>IF(AND(YEAR((DATE($B$66,$A$66,1)-WEEKDAY(DATE($B$66,$A$66,1),2)+1)+33)=$B$66,MONTH((DATE($B$66,$A$66,1)-WEEKDAY(DATE($B$66,$A$66,1),2)+1)+33)=$A$66),((DATE($B$66,$A$66,1)-WEEKDAY(DATE($B$66,$A$66,1),2)+1)+33), "")</f>
        <v/>
      </c>
      <c r="AF67" s="198" t="str">
        <f>IF(AND(YEAR((DATE($B$66,$A$66,1)-WEEKDAY(DATE($B$66,$A$66,1),2)+1)+34)=$B$66,MONTH((DATE($B$66,$A$66,1)-WEEKDAY(DATE($B$66,$A$66,1),2)+1)+34)=$A$66),((DATE($B$66,$A$66,1)-WEEKDAY(DATE($B$66,$A$66,1),2)+1)+34), "")</f>
        <v/>
      </c>
      <c r="AG67" s="155"/>
      <c r="AH67" s="230">
        <f t="shared" si="3"/>
        <v>30</v>
      </c>
      <c r="AI67" s="196">
        <f>IF(AND(YEAR((DATE($B$67,$A$67,1)-WEEKDAY(DATE($B$67,$A$67,1),2)+1)+28)=$B$67,MONTH((DATE($B$67,$A$67,1)-WEEKDAY(DATE($B$67,$A$67,1),2)+1)+28)=$A$67),((DATE($B$67,$A$67,1)-WEEKDAY(DATE($B$67,$A$67,1),2)+1)+28), "")</f>
        <v>42940</v>
      </c>
      <c r="AJ67" s="196">
        <f>IF(AND(YEAR((DATE($B$67,$A$67,1)-WEEKDAY(DATE($B$67,$A$67,1),2)+1)+29)=$B$67,MONTH((DATE($B$67,$A$67,1)-WEEKDAY(DATE($B$67,$A$67,1),2)+1)+29)=$A$67),((DATE($B$67,$A$67,1)-WEEKDAY(DATE($B$67,$A$67,1),2)+1)+29), "")</f>
        <v>42941</v>
      </c>
      <c r="AK67" s="196">
        <f>IF(AND(YEAR((DATE($B$67,$A$67,1)-WEEKDAY(DATE($B$67,$A$67,1),2)+1)+30)=$B$67,MONTH((DATE($B$67,$A$67,1)-WEEKDAY(DATE($B$67,$A$67,1),2)+1)+30)=$A$67),((DATE($B$67,$A$67,1)-WEEKDAY(DATE($B$67,$A$67,1),2)+1)+30), "")</f>
        <v>42942</v>
      </c>
      <c r="AL67" s="196">
        <f>IF(AND(YEAR((DATE($B$67,$A$67,1)-WEEKDAY(DATE($B$67,$A$67,1),2)+1)+31)=$B$67,MONTH((DATE($B$67,$A$67,1)-WEEKDAY(DATE($B$67,$A$67,1),2)+1)+31)=$A$67),((DATE($B$67,$A$67,1)-WEEKDAY(DATE($B$67,$A$67,1),2)+1)+31), "")</f>
        <v>42943</v>
      </c>
      <c r="AM67" s="196">
        <f>IF(AND(YEAR((DATE($B$67,$A$67,1)-WEEKDAY(DATE($B$67,$A$67,1),2)+1)+32)=$B$67,MONTH((DATE($B$67,$A$67,1)-WEEKDAY(DATE($B$67,$A$67,1),2)+1)+32)=$A$67),((DATE($B$67,$A$67,1)-WEEKDAY(DATE($B$67,$A$67,1),2)+1)+32), "")</f>
        <v>42944</v>
      </c>
      <c r="AN67" s="197">
        <f>IF(AND(YEAR((DATE($B$67,$A$67,1)-WEEKDAY(DATE($B$67,$A$67,1),2)+1)+33)=$B$67,MONTH((DATE($B$67,$A$67,1)-WEEKDAY(DATE($B$67,$A$67,1),2)+1)+33)=$A$67),((DATE($B$67,$A$67,1)-WEEKDAY(DATE($B$67,$A$67,1),2)+1)+33), "")</f>
        <v>42945</v>
      </c>
      <c r="AO67" s="198">
        <f>IF(AND(YEAR((DATE($B$67,$A$67,1)-WEEKDAY(DATE($B$67,$A$67,1),2)+1)+34)=$B$67,MONTH((DATE($B$67,$A$67,1)-WEEKDAY(DATE($B$67,$A$67,1),2)+1)+34)=$A$67),((DATE($B$67,$A$67,1)-WEEKDAY(DATE($B$67,$A$67,1),2)+1)+34), "")</f>
        <v>42946</v>
      </c>
      <c r="AQ67" s="202" t="s">
        <v>173</v>
      </c>
      <c r="AR67" s="203">
        <f>R49-Q44</f>
        <v>9</v>
      </c>
    </row>
    <row r="68" spans="1:44" ht="15.75" thickBot="1" x14ac:dyDescent="0.3">
      <c r="A68" s="161">
        <f t="shared" si="4"/>
        <v>8</v>
      </c>
      <c r="B68" s="159">
        <f t="shared" si="5"/>
        <v>2017</v>
      </c>
      <c r="C68" s="159"/>
      <c r="D68" s="160"/>
      <c r="F68" s="231" t="str">
        <f>IF(G68="","",WEEKNUM(G68,21))</f>
        <v/>
      </c>
      <c r="G68" s="199" t="str">
        <f>IF(AND(YEAR((DATE($B$64,$A$64,1)-WEEKDAY(DATE($B$64,$A$64,1),2)+1)+35)=$B$64,MONTH((DATE($B$64,$A$64,1)-WEEKDAY(DATE($B$64,$A$64,1),2)+1)+35)=$A$64),((DATE($B$64,$A$64,1)-WEEKDAY(DATE($B$64,$A$64,1),2)+1)+35), "")</f>
        <v/>
      </c>
      <c r="H68" s="199" t="str">
        <f>IF(AND(YEAR((DATE($B$64,$A$64,1)-WEEKDAY(DATE($B$64,$A$64,1),2)+1)+36)=$B$64,MONTH((DATE($B$64,$A$64,1)-WEEKDAY(DATE($B$64,$A$64,1),2)+1)+36)=$A$64),((DATE($B$64,$A$64,1)-WEEKDAY(DATE($B$64,$A$64,1),2)+1)+36), "")</f>
        <v/>
      </c>
      <c r="I68" s="199" t="str">
        <f>IF(AND(YEAR((DATE($B$64,$A$64,1)-WEEKDAY(DATE($B$64,$A$64,1),2)+1)+37)=$B$64,MONTH((DATE($B$64,$A$64,1)-WEEKDAY(DATE($B$64,$A$64,1),2)+1)+37)=$A$64),((DATE($B$64,$A$64,1)-WEEKDAY(DATE($B$64,$A$64,1),2)+1)+37), "")</f>
        <v/>
      </c>
      <c r="J68" s="199" t="str">
        <f>IF(AND(YEAR((DATE($B$64,$A$64,1)-WEEKDAY(DATE($B$64,$A$64,1),2)+1)+38)=$B$64,MONTH((DATE($B$64,$A$64,1)-WEEKDAY(DATE($B$64,$A$64,1),2)+1)+38)=$A$64),((DATE($B$64,$A$64,1)-WEEKDAY(DATE($B$64,$A$64,1),2)+1)+38), "")</f>
        <v/>
      </c>
      <c r="K68" s="199" t="str">
        <f>IF(AND(YEAR((DATE($B$64,$A$64,1)-WEEKDAY(DATE($B$64,$A$64,1),2)+1)+39)=$B$64,MONTH((DATE($B$64,$A$64,1)-WEEKDAY(DATE($B$64,$A$64,1),2)+1)+39)=$A$64),((DATE($B$64,$A$64,1)-WEEKDAY(DATE($B$64,$A$64,1),2)+1)+39), "")</f>
        <v/>
      </c>
      <c r="L68" s="200" t="str">
        <f>IF(AND(YEAR((DATE($B$64,$A$64,1)-WEEKDAY(DATE($B$64,$A$64,1),2)+1)+40)=$B$64,MONTH((DATE($B$64,$A$64,1)-WEEKDAY(DATE($B$64,$A$64,1),2)+1)+40)=$A$64),((DATE($B$64,$A$64,1)-WEEKDAY(DATE($B$64,$A$64,1),2)+1)+40), "")</f>
        <v/>
      </c>
      <c r="M68" s="201" t="str">
        <f>IF(AND(YEAR((DATE($B$64,$A$64,1)-WEEKDAY(DATE($B$64,$A$64,1),2)+1)+41)=$B$64,MONTH((DATE($B$64,$A$64,1)-WEEKDAY(DATE($B$64,$A$64,1),2)+1)+41)=$A$64),((DATE($B$64,$A$64,1)-WEEKDAY(DATE($B$64,$A$64,1),2)+1)+41), "")</f>
        <v/>
      </c>
      <c r="N68" s="155"/>
      <c r="O68" s="231" t="str">
        <f>IF(P68="","",WEEKNUM(P68,21))</f>
        <v/>
      </c>
      <c r="P68" s="199" t="str">
        <f>IF(AND(YEAR((DATE($B$65,$A$65,1)-WEEKDAY(DATE($B$65,$A$65,1),2)+1)+35)=$B$65,MONTH((DATE($B$65,$A$65,1)-WEEKDAY(DATE($B$65,$A$65,1),2)+1)+35)=$A$65),((DATE($B$65,$A$65,1)-WEEKDAY(DATE($B$65,$A$65,1),2)+1)+35), "")</f>
        <v/>
      </c>
      <c r="Q68" s="199" t="str">
        <f>IF(AND(YEAR((DATE($B$65,$A$65,1)-WEEKDAY(DATE($B$65,$A$65,1),2)+1)+36)=$B$65,MONTH((DATE($B$65,$A$65,1)-WEEKDAY(DATE($B$65,$A$65,1),2)+1)+36)=$A$65),((DATE($B$65,$A$65,1)-WEEKDAY(DATE($B$65,$A$65,1),2)+1)+36), "")</f>
        <v/>
      </c>
      <c r="R68" s="199" t="str">
        <f>IF(AND(YEAR((DATE($B$65,$A$65,1)-WEEKDAY(DATE($B$65,$A$65,1),2)+1)+37)=$B$65,MONTH((DATE($B$65,$A$65,1)-WEEKDAY(DATE($B$65,$A$65,1),2)+1)+37)=$A$65),((DATE($B$65,$A$65,1)-WEEKDAY(DATE($B$65,$A$65,1),2)+1)+37), "")</f>
        <v/>
      </c>
      <c r="S68" s="199" t="str">
        <f>IF(AND(YEAR((DATE($B$65,$A$65,1)-WEEKDAY(DATE($B$65,$A$65,1),2)+1)+38)=$B$65,MONTH((DATE($B$65,$A$65,1)-WEEKDAY(DATE($B$65,$A$65,1),2)+1)+38)=$A$65),((DATE($B$65,$A$65,1)-WEEKDAY(DATE($B$65,$A$65,1),2)+1)+38), "")</f>
        <v/>
      </c>
      <c r="T68" s="199" t="str">
        <f>IF(AND(YEAR((DATE($B$65,$A$65,1)-WEEKDAY(DATE($B$65,$A$65,1),2)+1)+39)=$B$65,MONTH((DATE($B$65,$A$65,1)-WEEKDAY(DATE($B$65,$A$65,1),2)+1)+39)=$A$65),((DATE($B$65,$A$65,1)-WEEKDAY(DATE($B$65,$A$65,1),2)+1)+39), "")</f>
        <v/>
      </c>
      <c r="U68" s="223" t="str">
        <f>IF(AND(YEAR((DATE($B$65,$A$65,1)-WEEKDAY(DATE($B$65,$A$65,1),2)+1)+40)=$B$65,MONTH((DATE($B$65,$A$65,1)-WEEKDAY(DATE($B$65,$A$65,1),2)+1)+40)=$A$65),((DATE($B$65,$A$65,1)-WEEKDAY(DATE($B$65,$A$65,1),2)+1)+40), "")</f>
        <v/>
      </c>
      <c r="V68" s="223"/>
      <c r="W68" s="201" t="str">
        <f>IF(AND(YEAR((DATE($B$65,$A$65,1)-WEEKDAY(DATE($B$65,$A$65,1),2)+1)+41)=$B$65,MONTH((DATE($B$65,$A$65,1)-WEEKDAY(DATE($B$65,$A$65,1),2)+1)+41)=$A$65),((DATE($B$65,$A$65,1)-WEEKDAY(DATE($B$65,$A$65,1),2)+1)+41), "")</f>
        <v/>
      </c>
      <c r="X68" s="155"/>
      <c r="Y68" s="231" t="str">
        <f>IF(Z68="","",WEEKNUM(Z68,21))</f>
        <v/>
      </c>
      <c r="Z68" s="199" t="str">
        <f>IF(AND(YEAR((DATE($B$66,$A$66,1)-WEEKDAY(DATE($B$66,$A$66,1),2)+1)+35)=$B$66,MONTH((DATE($B$66,$A$66,1)-WEEKDAY(DATE($B$66,$A$66,1),2)+1)+35)=$A$66),((DATE($B$66,$A$66,1)-WEEKDAY(DATE($B$66,$A$66,1),2)+1)+35), "")</f>
        <v/>
      </c>
      <c r="AA68" s="199" t="str">
        <f>IF(AND(YEAR((DATE($B$66,$A$66,1)-WEEKDAY(DATE($B$66,$A$66,1),2)+1)+36)=$B$66,MONTH((DATE($B$66,$A$66,1)-WEEKDAY(DATE($B$66,$A$66,1),2)+1)+36)=$A$66),((DATE($B$66,$A$66,1)-WEEKDAY(DATE($B$66,$A$66,1),2)+1)+36), "")</f>
        <v/>
      </c>
      <c r="AB68" s="199" t="str">
        <f>IF(AND(YEAR((DATE($B$66,$A$66,1)-WEEKDAY(DATE($B$66,$A$66,1),2)+1)+37)=$B$66,MONTH((DATE($B$66,$A$66,1)-WEEKDAY(DATE($B$66,$A$66,1),2)+1)+37)=$A$66),((DATE($B$66,$A$66,1)-WEEKDAY(DATE($B$66,$A$66,1),2)+1)+37), "")</f>
        <v/>
      </c>
      <c r="AC68" s="199" t="str">
        <f>IF(AND(YEAR((DATE($B$66,$A$66,1)-WEEKDAY(DATE($B$66,$A$66,1),2)+1)+38)=$B$66,MONTH((DATE($B$66,$A$66,1)-WEEKDAY(DATE($B$66,$A$66,1),2)+1)+38)=$A$66),((DATE($B$66,$A$66,1)-WEEKDAY(DATE($B$66,$A$66,1),2)+1)+38), "")</f>
        <v/>
      </c>
      <c r="AD68" s="199" t="str">
        <f>IF(AND(YEAR((DATE($B$66,$A$66,1)-WEEKDAY(DATE($B$66,$A$66,1),2)+1)+39)=$B$66,MONTH((DATE($B$66,$A$66,1)-WEEKDAY(DATE($B$66,$A$66,1),2)+1)+39)=$A$66),((DATE($B$66,$A$66,1)-WEEKDAY(DATE($B$66,$A$66,1),2)+1)+39), "")</f>
        <v/>
      </c>
      <c r="AE68" s="200" t="str">
        <f>IF(AND(YEAR((DATE($B$66,$A$66,1)-WEEKDAY(DATE($B$66,$A$66,1),2)+1)+40)=$B$66,MONTH((DATE($B$66,$A$66,1)-WEEKDAY(DATE($B$66,$A$66,1),2)+1)+40)=$A$66),((DATE($B$66,$A$66,1)-WEEKDAY(DATE($B$66,$A$66,1),2)+1)+40), "")</f>
        <v/>
      </c>
      <c r="AF68" s="201" t="str">
        <f>IF(AND(YEAR((DATE($B$66,$A$66,1)-WEEKDAY(DATE($B$66,$A$66,1),2)+1)+41)=$B$66,MONTH((DATE($B$66,$A$66,1)-WEEKDAY(DATE($B$66,$A$66,1),2)+1)+41)=$A$66),((DATE($B$66,$A$66,1)-WEEKDAY(DATE($B$66,$A$66,1),2)+1)+41), "")</f>
        <v/>
      </c>
      <c r="AG68" s="155"/>
      <c r="AH68" s="231">
        <f>IF(AI68="","",WEEKNUM(AI68,21))</f>
        <v>31</v>
      </c>
      <c r="AI68" s="199">
        <f>IF(AND(YEAR((DATE($B$67,$A$67,1)-WEEKDAY(DATE($B$67,$A$67,1),2)+1)+35)=$B$67,MONTH((DATE($B$67,$A$67,1)-WEEKDAY(DATE($B$67,$A$67,1),2)+1)+35)=$A$67),((DATE($B$67,$A$67,1)-WEEKDAY(DATE($B$67,$A$67,1),2)+1)+35), "")</f>
        <v>42947</v>
      </c>
      <c r="AJ68" s="199" t="str">
        <f>IF(AND(YEAR((DATE($B$67,$A$67,1)-WEEKDAY(DATE($B$67,$A$67,1),2)+1)+36)=$B$67,MONTH((DATE($B$67,$A$67,1)-WEEKDAY(DATE($B$67,$A$67,1),2)+1)+36)=$A$67),((DATE($B$67,$A$67,1)-WEEKDAY(DATE($B$67,$A$67,1),2)+1)+36), "")</f>
        <v/>
      </c>
      <c r="AK68" s="199" t="str">
        <f>IF(AND(YEAR((DATE($B$67,$A$67,1)-WEEKDAY(DATE($B$67,$A$67,1),2)+1)+37)=$B$67,MONTH((DATE($B$67,$A$67,1)-WEEKDAY(DATE($B$67,$A$67,1),2)+1)+37)=$A$67),((DATE($B$67,$A$67,1)-WEEKDAY(DATE($B$67,$A$67,1),2)+1)+37), "")</f>
        <v/>
      </c>
      <c r="AL68" s="199" t="str">
        <f>IF(AND(YEAR((DATE($B$67,$A$67,1)-WEEKDAY(DATE($B$67,$A$67,1),2)+1)+38)=$B$67,MONTH((DATE($B$67,$A$67,1)-WEEKDAY(DATE($B$67,$A$67,1),2)+1)+38)=$A$67),((DATE($B$67,$A$67,1)-WEEKDAY(DATE($B$67,$A$67,1),2)+1)+38), "")</f>
        <v/>
      </c>
      <c r="AM68" s="199" t="str">
        <f>IF(AND(YEAR((DATE($B$67,$A$67,1)-WEEKDAY(DATE($B$67,$A$67,1),2)+1)+39)=$B$67,MONTH((DATE($B$67,$A$67,1)-WEEKDAY(DATE($B$67,$A$67,1),2)+1)+39)=$A$67),((DATE($B$67,$A$67,1)-WEEKDAY(DATE($B$67,$A$67,1),2)+1)+39), "")</f>
        <v/>
      </c>
      <c r="AN68" s="200" t="str">
        <f>IF(AND(YEAR((DATE($B$67,$A$67,1)-WEEKDAY(DATE($B$67,$A$67,1),2)+1)+40)=$B$67,MONTH((DATE($B$67,$A$67,1)-WEEKDAY(DATE($B$67,$A$67,1),2)+1)+40)=$A$67),((DATE($B$67,$A$67,1)-WEEKDAY(DATE($B$67,$A$67,1),2)+1)+40), "")</f>
        <v/>
      </c>
      <c r="AO68" s="201" t="str">
        <f>IF(AND(YEAR((DATE($B$67,$A$67,1)-WEEKDAY(DATE($B$67,$A$67,1),2)+1)+41)=$B$67,MONTH((DATE($B$67,$A$67,1)-WEEKDAY(DATE($B$67,$A$67,1),2)+1)+41)=$A$67),((DATE($B$67,$A$67,1)-WEEKDAY(DATE($B$67,$A$67,1),2)+1)+41), "")</f>
        <v/>
      </c>
      <c r="AQ68" s="202" t="s">
        <v>174</v>
      </c>
      <c r="AR68" s="203">
        <f>R53-Q51</f>
        <v>20</v>
      </c>
    </row>
    <row r="69" spans="1:44" ht="7.5" customHeight="1" thickBot="1" x14ac:dyDescent="0.3">
      <c r="A69" s="161">
        <f t="shared" si="4"/>
        <v>9</v>
      </c>
      <c r="B69" s="159">
        <f t="shared" si="5"/>
        <v>2017</v>
      </c>
      <c r="C69" s="159"/>
      <c r="D69" s="160"/>
      <c r="G69" s="155"/>
      <c r="H69" s="155"/>
      <c r="I69" s="155"/>
      <c r="J69" s="155"/>
      <c r="K69" s="155"/>
      <c r="L69" s="155"/>
      <c r="M69" s="155"/>
      <c r="N69" s="155"/>
      <c r="P69" s="155"/>
      <c r="Q69" s="155"/>
      <c r="R69" s="155"/>
      <c r="S69" s="155"/>
      <c r="T69" s="155"/>
      <c r="U69" s="155"/>
      <c r="V69" s="155"/>
      <c r="W69" s="155"/>
      <c r="X69" s="155"/>
      <c r="Z69" s="155"/>
      <c r="AA69" s="155"/>
      <c r="AB69" s="155"/>
      <c r="AC69" s="155"/>
      <c r="AD69" s="155"/>
      <c r="AE69" s="155"/>
      <c r="AF69" s="155"/>
      <c r="AG69" s="155"/>
      <c r="AI69" s="155"/>
      <c r="AJ69" s="155"/>
      <c r="AK69" s="155"/>
      <c r="AL69" s="155"/>
      <c r="AM69" s="155"/>
      <c r="AN69" s="155"/>
      <c r="AO69" s="155"/>
      <c r="AQ69" s="204"/>
      <c r="AR69" s="203"/>
    </row>
    <row r="70" spans="1:44" ht="15.75" thickBot="1" x14ac:dyDescent="0.3">
      <c r="A70" s="161">
        <f t="shared" si="4"/>
        <v>10</v>
      </c>
      <c r="B70" s="159">
        <f t="shared" si="5"/>
        <v>2017</v>
      </c>
      <c r="C70" s="159"/>
      <c r="D70" s="160"/>
      <c r="F70" s="211"/>
      <c r="G70" s="212">
        <f>$AI$61+31</f>
        <v>42951</v>
      </c>
      <c r="H70" s="213"/>
      <c r="I70" s="213"/>
      <c r="J70" s="213"/>
      <c r="K70" s="213"/>
      <c r="L70" s="213"/>
      <c r="M70" s="214"/>
      <c r="N70" s="155"/>
      <c r="O70" s="211"/>
      <c r="P70" s="212">
        <f>$G$70+31</f>
        <v>42982</v>
      </c>
      <c r="Q70" s="213"/>
      <c r="R70" s="213"/>
      <c r="S70" s="213"/>
      <c r="T70" s="213"/>
      <c r="U70" s="213"/>
      <c r="V70" s="213"/>
      <c r="W70" s="214"/>
      <c r="X70" s="155"/>
      <c r="Y70" s="211"/>
      <c r="Z70" s="212">
        <f>$P$70+31</f>
        <v>43013</v>
      </c>
      <c r="AA70" s="213"/>
      <c r="AB70" s="213"/>
      <c r="AC70" s="213"/>
      <c r="AD70" s="213"/>
      <c r="AE70" s="213"/>
      <c r="AF70" s="214"/>
      <c r="AG70" s="155"/>
      <c r="AH70" s="211"/>
      <c r="AI70" s="212">
        <f>$Z$70+31</f>
        <v>43044</v>
      </c>
      <c r="AJ70" s="213"/>
      <c r="AK70" s="213"/>
      <c r="AL70" s="213"/>
      <c r="AM70" s="213"/>
      <c r="AN70" s="213"/>
      <c r="AO70" s="214"/>
      <c r="AQ70" s="202" t="s">
        <v>175</v>
      </c>
      <c r="AR70" s="203">
        <f>Q54-(AX26-1)</f>
        <v>131</v>
      </c>
    </row>
    <row r="71" spans="1:44" ht="15.75" thickBot="1" x14ac:dyDescent="0.3">
      <c r="A71" s="161">
        <f t="shared" si="4"/>
        <v>11</v>
      </c>
      <c r="B71" s="159">
        <f t="shared" si="5"/>
        <v>2017</v>
      </c>
      <c r="C71" s="159"/>
      <c r="D71" s="160"/>
      <c r="F71" s="219" t="s">
        <v>165</v>
      </c>
      <c r="G71" s="207" t="s">
        <v>155</v>
      </c>
      <c r="H71" s="208" t="s">
        <v>156</v>
      </c>
      <c r="I71" s="208" t="s">
        <v>157</v>
      </c>
      <c r="J71" s="208" t="s">
        <v>158</v>
      </c>
      <c r="K71" s="208" t="s">
        <v>159</v>
      </c>
      <c r="L71" s="209" t="s">
        <v>160</v>
      </c>
      <c r="M71" s="210" t="s">
        <v>161</v>
      </c>
      <c r="N71" s="155"/>
      <c r="O71" s="219" t="s">
        <v>165</v>
      </c>
      <c r="P71" s="207" t="s">
        <v>155</v>
      </c>
      <c r="Q71" s="208" t="s">
        <v>156</v>
      </c>
      <c r="R71" s="208" t="s">
        <v>157</v>
      </c>
      <c r="S71" s="208" t="s">
        <v>158</v>
      </c>
      <c r="T71" s="208" t="s">
        <v>159</v>
      </c>
      <c r="U71" s="224" t="s">
        <v>160</v>
      </c>
      <c r="V71" s="224"/>
      <c r="W71" s="210" t="s">
        <v>161</v>
      </c>
      <c r="X71" s="155"/>
      <c r="Y71" s="219" t="s">
        <v>165</v>
      </c>
      <c r="Z71" s="207" t="s">
        <v>155</v>
      </c>
      <c r="AA71" s="208" t="s">
        <v>156</v>
      </c>
      <c r="AB71" s="208" t="s">
        <v>157</v>
      </c>
      <c r="AC71" s="208" t="s">
        <v>158</v>
      </c>
      <c r="AD71" s="208" t="s">
        <v>159</v>
      </c>
      <c r="AE71" s="209" t="s">
        <v>160</v>
      </c>
      <c r="AF71" s="210" t="s">
        <v>161</v>
      </c>
      <c r="AG71" s="155"/>
      <c r="AH71" s="219" t="s">
        <v>165</v>
      </c>
      <c r="AI71" s="207" t="s">
        <v>155</v>
      </c>
      <c r="AJ71" s="208" t="s">
        <v>156</v>
      </c>
      <c r="AK71" s="208" t="s">
        <v>157</v>
      </c>
      <c r="AL71" s="208" t="s">
        <v>158</v>
      </c>
      <c r="AM71" s="208" t="s">
        <v>159</v>
      </c>
      <c r="AN71" s="209" t="s">
        <v>160</v>
      </c>
      <c r="AO71" s="210" t="s">
        <v>161</v>
      </c>
      <c r="AQ71" s="204"/>
      <c r="AR71" s="203"/>
    </row>
    <row r="72" spans="1:44" x14ac:dyDescent="0.25">
      <c r="A72" s="161">
        <f t="shared" si="4"/>
        <v>12</v>
      </c>
      <c r="B72" s="159">
        <f t="shared" si="5"/>
        <v>2017</v>
      </c>
      <c r="C72" s="159"/>
      <c r="D72" s="160"/>
      <c r="F72" s="230">
        <f>WEEKNUM(M72,21)</f>
        <v>31</v>
      </c>
      <c r="G72" s="220" t="str">
        <f>IF(AND(YEAR((DATE($B$68,$A$68,1)-WEEKDAY(DATE($B$68,$A$68,1),2)+1)+0)=$B$68,MONTH((DATE($B$68,$A$68,1)-WEEKDAY(DATE($B$68,$A$68,1),2)+1)+0)=$A$68),((DATE($B$68,$A$68,1)-WEEKDAY(DATE($B$68,$A$68,1),2)+1)+0), "")</f>
        <v/>
      </c>
      <c r="H72" s="196">
        <f>IF(AND(YEAR((DATE($B$68,$A$68,1)-WEEKDAY(DATE($B$68,$A$68,1),2)+1)+1)=$B$68,MONTH((DATE($B$68,$A$68,1)-WEEKDAY(DATE($B$68,$A$68,1),2)+1)+1)=$A$68),((DATE($B$68,$A$68,1)-WEEKDAY(DATE($B$68,$A$68,1),2)+1)+1), "")</f>
        <v>42948</v>
      </c>
      <c r="I72" s="196">
        <f>IF(AND(YEAR((DATE($B$68,$A$68,1)-WEEKDAY(DATE($B$68,$A$68,1),2)+1)+2)=$B$68,MONTH((DATE($B$68,$A$68,1)-WEEKDAY(DATE($B$68,$A$68,1),2)+1)+2)=$A$68),((DATE($B$68,$A$68,1)-WEEKDAY(DATE($B$68,$A$68,1),2)+1)+2), "")</f>
        <v>42949</v>
      </c>
      <c r="J72" s="196">
        <f>IF(AND(YEAR((DATE($B$68,$A$68,1)-WEEKDAY(DATE($B$68,$A$68,1),2)+1)+3)=$B$68,MONTH((DATE($B$68,$A$68,1)-WEEKDAY(DATE($B$68,$A$68,1),2)+1)+3)=$A$68),((DATE($B$68,$A$68,1)-WEEKDAY(DATE($B$68,$A$68,1),2)+1)+3), "")</f>
        <v>42950</v>
      </c>
      <c r="K72" s="196">
        <f>IF(AND(YEAR((DATE($B$68,$A$68,1)-WEEKDAY(DATE($B$68,$A$68,1),2)+1)+4)=$B$68,MONTH((DATE($B$68,$A$68,1)-WEEKDAY(DATE($B$68,$A$68,1),2)+1)+4)=$A$68),((DATE($B$68,$A$68,1)-WEEKDAY(DATE($B$68,$A$68,1),2)+1)+4), "")</f>
        <v>42951</v>
      </c>
      <c r="L72" s="197">
        <f>IF(AND(YEAR((DATE($B$68,$A$68,1)-WEEKDAY(DATE($B$68,$A$68,1),2)+1)+5)=$B$68,MONTH((DATE($B$68,$A$68,1)-WEEKDAY(DATE($B$68,$A$68,1),2)+1)+5)=$A$68),((DATE($B$68,$A$68,1)-WEEKDAY(DATE($B$68,$A$68,1),2)+1)+5), "")</f>
        <v>42952</v>
      </c>
      <c r="M72" s="198">
        <f>IF(AND(YEAR((DATE($B$68,$A$68,1)-WEEKDAY(DATE($B$68,$A$68,1),2)+1)+6)=$B$68,MONTH((DATE($B$68,$A$68,1)-WEEKDAY(DATE($B$68,$A$68,1),2)+1)+6)=$A$68),((DATE($B$68,$A$68,1)-WEEKDAY(DATE($B$68,$A$68,1),2)+1)+6), "")</f>
        <v>42953</v>
      </c>
      <c r="N72" s="155"/>
      <c r="O72" s="230">
        <f>WEEKNUM(W72,21)</f>
        <v>35</v>
      </c>
      <c r="P72" s="220" t="str">
        <f>IF(AND(YEAR((DATE($B$69,$A$69,1)-WEEKDAY(DATE($B$69,$A$69,1),2)+1)+0)=$B$69,MONTH((DATE($B$69,$A$69,1)-WEEKDAY(DATE($B$69,$A$69,1),2)+1)+0)=$A$69),((DATE($B$69,$A$69,1)-WEEKDAY(DATE($B$69,$A$69,1),2)+1)+0), "")</f>
        <v/>
      </c>
      <c r="Q72" s="196" t="str">
        <f>IF(AND(YEAR((DATE($B$69,$A$69,1)-WEEKDAY(DATE($B$69,$A$69,1),2)+1)+1)=$B$69,MONTH((DATE($B$69,$A$69,1)-WEEKDAY(DATE($B$69,$A$69,1),2)+1)+1)=$A$69),((DATE($B$69,$A$69,1)-WEEKDAY(DATE($B$69,$A$69,1),2)+1)+1), "")</f>
        <v/>
      </c>
      <c r="R72" s="196" t="str">
        <f>IF(AND(YEAR((DATE($B$69,$A$69,1)-WEEKDAY(DATE($B$69,$A$69,1),2)+1)+2)=$B$69,MONTH((DATE($B$69,$A$69,1)-WEEKDAY(DATE($B$69,$A$69,1),2)+1)+2)=$A$69),((DATE($B$69,$A$69,1)-WEEKDAY(DATE($B$69,$A$69,1),2)+1)+2), "")</f>
        <v/>
      </c>
      <c r="S72" s="196" t="str">
        <f>IF(AND(YEAR((DATE($B$69,$A$69,1)-WEEKDAY(DATE($B$69,$A$69,1),2)+1)+3)=$B$69,MONTH((DATE($B$69,$A$69,1)-WEEKDAY(DATE($B$69,$A$69,1),2)+1)+3)=$A$69),((DATE($B$69,$A$69,1)-WEEKDAY(DATE($B$69,$A$69,1),2)+1)+3), "")</f>
        <v/>
      </c>
      <c r="T72" s="196">
        <f>IF(AND(YEAR((DATE($B$69,$A$69,1)-WEEKDAY(DATE($B$69,$A$69,1),2)+1)+4)=$B$69,MONTH((DATE($B$69,$A$69,1)-WEEKDAY(DATE($B$69,$A$69,1),2)+1)+4)=$A$69),((DATE($B$69,$A$69,1)-WEEKDAY(DATE($B$69,$A$69,1),2)+1)+4), "")</f>
        <v>42979</v>
      </c>
      <c r="U72" s="222">
        <f>IF(AND(YEAR((DATE($B$69,$A$69,1)-WEEKDAY(DATE($B$69,$A$69,1),2)+1)+5)=$B$69,MONTH((DATE($B$69,$A$69,1)-WEEKDAY(DATE($B$69,$A$69,1),2)+1)+5)=$A$69),((DATE($B$69,$A$69,1)-WEEKDAY(DATE($B$69,$A$69,1),2)+1)+5), "")</f>
        <v>42980</v>
      </c>
      <c r="V72" s="222"/>
      <c r="W72" s="198">
        <f>IF(AND(YEAR((DATE($B$69,$A$69,1)-WEEKDAY(DATE($B$69,$A$69,1),2)+1)+6)=$B$69,MONTH((DATE($B$69,$A$69,1)-WEEKDAY(DATE($B$69,$A$69,1),2)+1)+6)=$A$69),((DATE($B$69,$A$69,1)-WEEKDAY(DATE($B$69,$A$69,1),2)+1)+6), "")</f>
        <v>42981</v>
      </c>
      <c r="X72" s="155"/>
      <c r="Y72" s="230">
        <f>WEEKNUM(AF72,21)</f>
        <v>39</v>
      </c>
      <c r="Z72" s="220" t="str">
        <f>IF(AND(YEAR((DATE($B$70,$A$70,1)-WEEKDAY(DATE($B$70,$A$70,1),2)+1)+0)=$B$70,MONTH((DATE($B$70,$A$70,1)-WEEKDAY(DATE($B$70,$A$70,1),2)+1)+0)=$A$70),((DATE($B$70,$A$70,1)-WEEKDAY(DATE($B$70,$A$70,1),2)+1)+0), "")</f>
        <v/>
      </c>
      <c r="AA72" s="196" t="str">
        <f>IF(AND(YEAR((DATE($B$70,$A$70,1)-WEEKDAY(DATE($B$70,$A$70,1),2)+1)+1)=$B$70,MONTH((DATE($B$70,$A$70,1)-WEEKDAY(DATE($B$70,$A$70,1),2)+1)+1)=$A$70),((DATE($B$70,$A$70,1)-WEEKDAY(DATE($B$70,$A$70,1),2)+1)+1), "")</f>
        <v/>
      </c>
      <c r="AB72" s="196" t="str">
        <f>IF(AND(YEAR((DATE($B$70,$A$70,1)-WEEKDAY(DATE($B$70,$A$70,1),2)+1)+2)=$B$70,MONTH((DATE($B$70,$A$70,1)-WEEKDAY(DATE($B$70,$A$70,1),2)+1)+2)=$A$70),((DATE($B$70,$A$70,1)-WEEKDAY(DATE($B$70,$A$70,1),2)+1)+2), "")</f>
        <v/>
      </c>
      <c r="AC72" s="196" t="str">
        <f>IF(AND(YEAR((DATE($B$70,$A$70,1)-WEEKDAY(DATE($B$70,$A$70,1),2)+1)+3)=$B$70,MONTH((DATE($B$70,$A$70,1)-WEEKDAY(DATE($B$70,$A$70,1),2)+1)+3)=$A$70),((DATE($B$70,$A$70,1)-WEEKDAY(DATE($B$70,$A$70,1),2)+1)+3), "")</f>
        <v/>
      </c>
      <c r="AD72" s="196" t="str">
        <f>IF(AND(YEAR((DATE($B$70,$A$70,1)-WEEKDAY(DATE($B$70,$A$70,1),2)+1)+4)=$B$70,MONTH((DATE($B$70,$A$70,1)-WEEKDAY(DATE($B$70,$A$70,1),2)+1)+4)=$A$70),((DATE($B$70,$A$70,1)-WEEKDAY(DATE($B$70,$A$70,1),2)+1)+4), "")</f>
        <v/>
      </c>
      <c r="AE72" s="197" t="str">
        <f>IF(AND(YEAR((DATE($B$70,$A$70,1)-WEEKDAY(DATE($B$70,$A$70,1),2)+1)+5)=$B$70,MONTH((DATE($B$70,$A$70,1)-WEEKDAY(DATE($B$70,$A$70,1),2)+1)+5)=$A$70),((DATE($B$70,$A$70,1)-WEEKDAY(DATE($B$70,$A$70,1),2)+1)+5), "")</f>
        <v/>
      </c>
      <c r="AF72" s="198">
        <f>IF(AND(YEAR((DATE($B$70,$A$70,1)-WEEKDAY(DATE($B$70,$A$70,1),2)+1)+6)=$B$70,MONTH((DATE($B$70,$A$70,1)-WEEKDAY(DATE($B$70,$A$70,1),2)+1)+6)=$A$70),((DATE($B$70,$A$70,1)-WEEKDAY(DATE($B$70,$A$70,1),2)+1)+6), "")</f>
        <v>43009</v>
      </c>
      <c r="AG72" s="155"/>
      <c r="AH72" s="230">
        <f>WEEKNUM(AO72,21)</f>
        <v>44</v>
      </c>
      <c r="AI72" s="220" t="str">
        <f>IF(AND(YEAR((DATE($B$71,$A$71,1)-WEEKDAY(DATE($B$71,$A$71,1),2)+1)+0)=$B$71,MONTH((DATE($B$71,$A$71,1)-WEEKDAY(DATE($B$71,$A$71,1),2)+1)+0)=$A$71),((DATE($B$71,$A$71,1)-WEEKDAY(DATE($B$71,$A$71,1),2)+1)+0), "")</f>
        <v/>
      </c>
      <c r="AJ72" s="196" t="str">
        <f>IF(AND(YEAR((DATE($B$71,$A$71,1)-WEEKDAY(DATE($B$71,$A$71,1),2)+1)+1)=$B$71,MONTH((DATE($B$71,$A$71,1)-WEEKDAY(DATE($B$71,$A$71,1),2)+1)+1)=$A$71),((DATE($B$71,$A$71,1)-WEEKDAY(DATE($B$71,$A$71,1),2)+1)+1), "")</f>
        <v/>
      </c>
      <c r="AK72" s="196">
        <f>IF(AND(YEAR((DATE($B$71,$A$71,1)-WEEKDAY(DATE($B$71,$A$71,1),2)+1)+2)=$B$71,MONTH((DATE($B$71,$A$71,1)-WEEKDAY(DATE($B$71,$A$71,1),2)+1)+2)=$A$71),((DATE($B$71,$A$71,1)-WEEKDAY(DATE($B$71,$A$71,1),2)+1)+2), "")</f>
        <v>43040</v>
      </c>
      <c r="AL72" s="196">
        <f>IF(AND(YEAR((DATE($B$71,$A$71,1)-WEEKDAY(DATE($B$71,$A$71,1),2)+1)+3)=$B$71,MONTH((DATE($B$71,$A$71,1)-WEEKDAY(DATE($B$71,$A$71,1),2)+1)+3)=$A$71),((DATE($B$71,$A$71,1)-WEEKDAY(DATE($B$71,$A$71,1),2)+1)+3), "")</f>
        <v>43041</v>
      </c>
      <c r="AM72" s="196">
        <f>IF(AND(YEAR((DATE($B$71,$A$71,1)-WEEKDAY(DATE($B$71,$A$71,1),2)+1)+4)=$B$71,MONTH((DATE($B$71,$A$71,1)-WEEKDAY(DATE($B$71,$A$71,1),2)+1)+4)=$A$71),((DATE($B$71,$A$71,1)-WEEKDAY(DATE($B$71,$A$71,1),2)+1)+4), "")</f>
        <v>43042</v>
      </c>
      <c r="AN72" s="197">
        <f>IF(AND(YEAR((DATE($B$71,$A$71,1)-WEEKDAY(DATE($B$71,$A$71,1),2)+1)+5)=$B$71,MONTH((DATE($B$71,$A$71,1)-WEEKDAY(DATE($B$71,$A$71,1),2)+1)+5)=$A$71),((DATE($B$71,$A$71,1)-WEEKDAY(DATE($B$71,$A$71,1),2)+1)+5), "")</f>
        <v>43043</v>
      </c>
      <c r="AO72" s="198">
        <f>IF(AND(YEAR((DATE($B$71,$A$71,1)-WEEKDAY(DATE($B$71,$A$71,1),2)+1)+6)=$B$71,MONTH((DATE($B$71,$A$71,1)-WEEKDAY(DATE($B$71,$A$71,1),2)+1)+6)=$A$71),((DATE($B$71,$A$71,1)-WEEKDAY(DATE($B$71,$A$71,1),2)+1)+6), "")</f>
        <v>43044</v>
      </c>
      <c r="AQ72" s="202" t="s">
        <v>182</v>
      </c>
      <c r="AR72" s="229">
        <v>7</v>
      </c>
    </row>
    <row r="73" spans="1:44" x14ac:dyDescent="0.25">
      <c r="A73" s="161"/>
      <c r="B73" s="159"/>
      <c r="C73" s="159"/>
      <c r="D73" s="160"/>
      <c r="F73" s="230">
        <f>WEEKNUM(G73,21)</f>
        <v>32</v>
      </c>
      <c r="G73" s="196">
        <f>IF(AND(YEAR((DATE($B$68,$A$68,1)-WEEKDAY(DATE($B$68,$A$68,1),2)+1)+7)=$B$68,MONTH((DATE($B$68,$A$68,1)-WEEKDAY(DATE($B$68,$A$68,1),2)+1)+7)=$A$68),((DATE($B$68,$A$68,1)-WEEKDAY(DATE($B$68,$A$68,1),2)+1)+7), "")</f>
        <v>42954</v>
      </c>
      <c r="H73" s="196">
        <f>IF(AND(YEAR((DATE($B$68,$A$68,1)-WEEKDAY(DATE($B$68,$A$68,1),2)+1)+8)=$B$68,MONTH((DATE($B$68,$A$68,1)-WEEKDAY(DATE($B$68,$A$68,1),2)+1)+8)=$A$68),((DATE($B$68,$A$68,1)-WEEKDAY(DATE($B$68,$A$68,1),2)+1)+8), "")</f>
        <v>42955</v>
      </c>
      <c r="I73" s="196">
        <f>IF(AND(YEAR((DATE($B$68,$A$68,1)-WEEKDAY(DATE($B$68,$A$68,1),2)+1)+9)=$B$68,MONTH((DATE($B$68,$A$68,1)-WEEKDAY(DATE($B$68,$A$68,1),2)+1)+9)=$A$68),((DATE($B$68,$A$68,1)-WEEKDAY(DATE($B$68,$A$68,1),2)+1)+9), "")</f>
        <v>42956</v>
      </c>
      <c r="J73" s="196">
        <f>IF(AND(YEAR((DATE($B$68,$A$68,1)-WEEKDAY(DATE($B$68,$A$68,1),2)+1)+10)=$B$68,MONTH((DATE($B$68,$A$68,1)-WEEKDAY(DATE($B$68,$A$68,1),2)+1)+10)=$A$68),((DATE($B$68,$A$68,1)-WEEKDAY(DATE($B$68,$A$68,1),2)+1)+10), "")</f>
        <v>42957</v>
      </c>
      <c r="K73" s="196">
        <f>IF(AND(YEAR((DATE($B$68,$A$68,1)-WEEKDAY(DATE($B$68,$A$68,1),2)+1)+11)=$B$68,MONTH((DATE($B$68,$A$68,1)-WEEKDAY(DATE($B$68,$A$68,1),2)+1)+11)=$A$68),((DATE($B$68,$A$68,1)-WEEKDAY(DATE($B$68,$A$68,1),2)+1)+11), "")</f>
        <v>42958</v>
      </c>
      <c r="L73" s="197">
        <f>IF(AND(YEAR((DATE($B$68,$A$68,1)-WEEKDAY(DATE($B$68,$A$68,1),2)+1)+12)=$B$68,MONTH((DATE($B$68,$A$68,1)-WEEKDAY(DATE($B$68,$A$68,1),2)+1)+12)=$A$68),((DATE($B$68,$A$68,1)-WEEKDAY(DATE($B$68,$A$68,1),2)+1)+12), "")</f>
        <v>42959</v>
      </c>
      <c r="M73" s="198">
        <f>IF(AND(YEAR((DATE($B$68,$A$68,1)-WEEKDAY(DATE($B$68,$A$68,1),2)+1)+13)=$B$68,MONTH((DATE($B$68,$A$68,1)-WEEKDAY(DATE($B$68,$A$68,1),2)+1)+13)=$A$68),((DATE($B$68,$A$68,1)-WEEKDAY(DATE($B$68,$A$68,1),2)+1)+13), "")</f>
        <v>42960</v>
      </c>
      <c r="N73" s="155"/>
      <c r="O73" s="230">
        <f>WEEKNUM(P73,21)</f>
        <v>36</v>
      </c>
      <c r="P73" s="196">
        <f>IF(AND(YEAR((DATE($B$69,$A$69,1)-WEEKDAY(DATE($B$69,$A$69,1),2)+1)+7)=$B$69,MONTH((DATE($B$69,$A$69,1)-WEEKDAY(DATE($B$69,$A$69,1),2)+1)+7)=$A$69),((DATE($B$69,$A$69,1)-WEEKDAY(DATE($B$69,$A$69,1),2)+1)+7), "")</f>
        <v>42982</v>
      </c>
      <c r="Q73" s="196">
        <f>IF(AND(YEAR((DATE($B$69,$A$69,1)-WEEKDAY(DATE($B$69,$A$69,1),2)+1)+8)=$B$69,MONTH((DATE($B$69,$A$69,1)-WEEKDAY(DATE($B$69,$A$69,1),2)+1)+8)=$A$69),((DATE($B$69,$A$69,1)-WEEKDAY(DATE($B$69,$A$69,1),2)+1)+8), "")</f>
        <v>42983</v>
      </c>
      <c r="R73" s="196">
        <f>IF(AND(YEAR((DATE($B$69,$A$69,1)-WEEKDAY(DATE($B$69,$A$69,1),2)+1)+9)=$B$69,MONTH((DATE($B$69,$A$69,1)-WEEKDAY(DATE($B$69,$A$69,1),2)+1)+9)=$A$69),((DATE($B$69,$A$69,1)-WEEKDAY(DATE($B$69,$A$69,1),2)+1)+9), "")</f>
        <v>42984</v>
      </c>
      <c r="S73" s="196">
        <f>IF(AND(YEAR((DATE($B$69,$A$69,1)-WEEKDAY(DATE($B$69,$A$69,1),2)+1)+10)=$B$69,MONTH((DATE($B$69,$A$69,1)-WEEKDAY(DATE($B$69,$A$69,1),2)+1)+10)=$A$69),((DATE($B$69,$A$69,1)-WEEKDAY(DATE($B$69,$A$69,1),2)+1)+10), "")</f>
        <v>42985</v>
      </c>
      <c r="T73" s="196">
        <f>IF(AND(YEAR((DATE($B$69,$A$69,1)-WEEKDAY(DATE($B$69,$A$69,1),2)+1)+11)=$B$69,MONTH((DATE($B$69,$A$69,1)-WEEKDAY(DATE($B$69,$A$69,1),2)+1)+11)=$A$69),((DATE($B$69,$A$69,1)-WEEKDAY(DATE($B$69,$A$69,1),2)+1)+11), "")</f>
        <v>42986</v>
      </c>
      <c r="U73" s="221">
        <f>IF(AND(YEAR((DATE($B$69,$A$69,1)-WEEKDAY(DATE($B$69,$A$69,1),2)+1)+12)=$B$69,MONTH((DATE($B$69,$A$69,1)-WEEKDAY(DATE($B$69,$A$69,1),2)+1)+12)=$A$69),((DATE($B$69,$A$69,1)-WEEKDAY(DATE($B$69,$A$69,1),2)+1)+12), "")</f>
        <v>42987</v>
      </c>
      <c r="V73" s="221"/>
      <c r="W73" s="198">
        <f>IF(AND(YEAR((DATE($B$69,$A$69,1)-WEEKDAY(DATE($B$69,$A$69,1),2)+1)+13)=$B$69,MONTH((DATE($B$69,$A$69,1)-WEEKDAY(DATE($B$69,$A$69,1),2)+1)+13)=$A$69),((DATE($B$69,$A$69,1)-WEEKDAY(DATE($B$69,$A$69,1),2)+1)+13), "")</f>
        <v>42988</v>
      </c>
      <c r="X73" s="155"/>
      <c r="Y73" s="230">
        <f>WEEKNUM(Z73,21)</f>
        <v>40</v>
      </c>
      <c r="Z73" s="196">
        <f>IF(AND(YEAR((DATE($B$70,$A$70,1)-WEEKDAY(DATE($B$70,$A$70,1),2)+1)+7)=$B$70,MONTH((DATE($B$70,$A$70,1)-WEEKDAY(DATE($B$70,$A$70,1),2)+1)+7)=$A$70),((DATE($B$70,$A$70,1)-WEEKDAY(DATE($B$70,$A$70,1),2)+1)+7), "")</f>
        <v>43010</v>
      </c>
      <c r="AA73" s="196">
        <f>IF(AND(YEAR((DATE($B$70,$A$70,1)-WEEKDAY(DATE($B$70,$A$70,1),2)+1)+8)=$B$70,MONTH((DATE($B$70,$A$70,1)-WEEKDAY(DATE($B$70,$A$70,1),2)+1)+8)=$A$70),((DATE($B$70,$A$70,1)-WEEKDAY(DATE($B$70,$A$70,1),2)+1)+8), "")</f>
        <v>43011</v>
      </c>
      <c r="AB73" s="196">
        <f>IF(AND(YEAR((DATE($B$70,$A$70,1)-WEEKDAY(DATE($B$70,$A$70,1),2)+1)+9)=$B$70,MONTH((DATE($B$70,$A$70,1)-WEEKDAY(DATE($B$70,$A$70,1),2)+1)+9)=$A$70),((DATE($B$70,$A$70,1)-WEEKDAY(DATE($B$70,$A$70,1),2)+1)+9), "")</f>
        <v>43012</v>
      </c>
      <c r="AC73" s="196">
        <f>IF(AND(YEAR((DATE($B$70,$A$70,1)-WEEKDAY(DATE($B$70,$A$70,1),2)+1)+10)=$B$70,MONTH((DATE($B$70,$A$70,1)-WEEKDAY(DATE($B$70,$A$70,1),2)+1)+10)=$A$70),((DATE($B$70,$A$70,1)-WEEKDAY(DATE($B$70,$A$70,1),2)+1)+10), "")</f>
        <v>43013</v>
      </c>
      <c r="AD73" s="196">
        <f>IF(AND(YEAR((DATE($B$70,$A$70,1)-WEEKDAY(DATE($B$70,$A$70,1),2)+1)+11)=$B$70,MONTH((DATE($B$70,$A$70,1)-WEEKDAY(DATE($B$70,$A$70,1),2)+1)+11)=$A$70),((DATE($B$70,$A$70,1)-WEEKDAY(DATE($B$70,$A$70,1),2)+1)+11), "")</f>
        <v>43014</v>
      </c>
      <c r="AE73" s="197">
        <f>IF(AND(YEAR((DATE($B$70,$A$70,1)-WEEKDAY(DATE($B$70,$A$70,1),2)+1)+12)=$B$70,MONTH((DATE($B$70,$A$70,1)-WEEKDAY(DATE($B$70,$A$70,1),2)+1)+12)=$A$70),((DATE($B$70,$A$70,1)-WEEKDAY(DATE($B$70,$A$70,1),2)+1)+12), "")</f>
        <v>43015</v>
      </c>
      <c r="AF73" s="198">
        <f>IF(AND(YEAR((DATE($B$70,$A$70,1)-WEEKDAY(DATE($B$70,$A$70,1),2)+1)+13)=$B$70,MONTH((DATE($B$70,$A$70,1)-WEEKDAY(DATE($B$70,$A$70,1),2)+1)+13)=$A$70),((DATE($B$70,$A$70,1)-WEEKDAY(DATE($B$70,$A$70,1),2)+1)+13), "")</f>
        <v>43016</v>
      </c>
      <c r="AG73" s="155"/>
      <c r="AH73" s="230">
        <f>WEEKNUM(AI73,21)</f>
        <v>45</v>
      </c>
      <c r="AI73" s="196">
        <f>IF(AND(YEAR((DATE($B$71,$A$71,1)-WEEKDAY(DATE($B$71,$A$71,1),2)+1)+7)=$B$71,MONTH((DATE($B$71,$A$71,1)-WEEKDAY(DATE($B$71,$A$71,1),2)+1)+7)=$A$71),((DATE($B$71,$A$71,1)-WEEKDAY(DATE($B$71,$A$71,1),2)+1)+7), "")</f>
        <v>43045</v>
      </c>
      <c r="AJ73" s="196">
        <f>IF(AND(YEAR((DATE($B$71,$A$71,1)-WEEKDAY(DATE($B$71,$A$71,1),2)+1)+8)=$B$71,MONTH((DATE($B$71,$A$71,1)-WEEKDAY(DATE($B$71,$A$71,1),2)+1)+8)=$A$71),((DATE($B$71,$A$71,1)-WEEKDAY(DATE($B$71,$A$71,1),2)+1)+8), "")</f>
        <v>43046</v>
      </c>
      <c r="AK73" s="196">
        <f>IF(AND(YEAR((DATE($B$71,$A$71,1)-WEEKDAY(DATE($B$71,$A$71,1),2)+1)+9)=$B$71,MONTH((DATE($B$71,$A$71,1)-WEEKDAY(DATE($B$71,$A$71,1),2)+1)+9)=$A$71),((DATE($B$71,$A$71,1)-WEEKDAY(DATE($B$71,$A$71,1),2)+1)+9), "")</f>
        <v>43047</v>
      </c>
      <c r="AL73" s="196">
        <f>IF(AND(YEAR((DATE($B$71,$A$71,1)-WEEKDAY(DATE($B$71,$A$71,1),2)+1)+10)=$B$71,MONTH((DATE($B$71,$A$71,1)-WEEKDAY(DATE($B$71,$A$71,1),2)+1)+10)=$A$71),((DATE($B$71,$A$71,1)-WEEKDAY(DATE($B$71,$A$71,1),2)+1)+10), "")</f>
        <v>43048</v>
      </c>
      <c r="AM73" s="196">
        <f>IF(AND(YEAR((DATE($B$71,$A$71,1)-WEEKDAY(DATE($B$71,$A$71,1),2)+1)+11)=$B$71,MONTH((DATE($B$71,$A$71,1)-WEEKDAY(DATE($B$71,$A$71,1),2)+1)+11)=$A$71),((DATE($B$71,$A$71,1)-WEEKDAY(DATE($B$71,$A$71,1),2)+1)+11), "")</f>
        <v>43049</v>
      </c>
      <c r="AN73" s="197">
        <f>IF(AND(YEAR((DATE($B$71,$A$71,1)-WEEKDAY(DATE($B$71,$A$71,1),2)+1)+12)=$B$71,MONTH((DATE($B$71,$A$71,1)-WEEKDAY(DATE($B$71,$A$71,1),2)+1)+12)=$A$71),((DATE($B$71,$A$71,1)-WEEKDAY(DATE($B$71,$A$71,1),2)+1)+12), "")</f>
        <v>43050</v>
      </c>
      <c r="AO73" s="198">
        <f>IF(AND(YEAR((DATE($B$71,$A$71,1)-WEEKDAY(DATE($B$71,$A$71,1),2)+1)+13)=$B$71,MONTH((DATE($B$71,$A$71,1)-WEEKDAY(DATE($B$71,$A$71,1),2)+1)+13)=$A$71),((DATE($B$71,$A$71,1)-WEEKDAY(DATE($B$71,$A$71,1),2)+1)+13), "")</f>
        <v>43051</v>
      </c>
      <c r="AQ73" s="202" t="s">
        <v>183</v>
      </c>
      <c r="AR73" s="234">
        <v>7</v>
      </c>
    </row>
    <row r="74" spans="1:44" x14ac:dyDescent="0.25">
      <c r="A74" s="161"/>
      <c r="B74" s="159"/>
      <c r="C74" s="159"/>
      <c r="D74" s="160"/>
      <c r="F74" s="230">
        <f t="shared" ref="F74:F76" si="6">WEEKNUM(G74,21)</f>
        <v>33</v>
      </c>
      <c r="G74" s="196">
        <f>IF(AND(YEAR((DATE($B$68,$A$68,1)-WEEKDAY(DATE($B$68,$A$68,1),2)+1)+14)=$B$68,MONTH((DATE($B$68,$A$68,1)-WEEKDAY(DATE($B$68,$A$68,1),2)+1)+14)=$A$68),((DATE($B$68,$A$68,1)-WEEKDAY(DATE($B$68,$A$68,1),2)+1)+14), "")</f>
        <v>42961</v>
      </c>
      <c r="H74" s="196">
        <f>IF(AND(YEAR((DATE($B$68,$A$68,1)-WEEKDAY(DATE($B$68,$A$68,1),2)+1)+15)=$B$68,MONTH((DATE($B$68,$A$68,1)-WEEKDAY(DATE($B$68,$A$68,1),2)+1)+15)=$A$68),((DATE($B$68,$A$68,1)-WEEKDAY(DATE($B$68,$A$68,1),2)+1)+15), "")</f>
        <v>42962</v>
      </c>
      <c r="I74" s="196">
        <f>IF(AND(YEAR((DATE($B$68,$A$68,1)-WEEKDAY(DATE($B$68,$A$68,1),2)+1)+16)=$B$68,MONTH((DATE($B$68,$A$68,1)-WEEKDAY(DATE($B$68,$A$68,1),2)+1)+16)=$A$68),((DATE($B$68,$A$68,1)-WEEKDAY(DATE($B$68,$A$68,1),2)+1)+16), "")</f>
        <v>42963</v>
      </c>
      <c r="J74" s="196">
        <f>IF(AND(YEAR((DATE($B$68,$A$68,1)-WEEKDAY(DATE($B$68,$A$68,1),2)+1)+17)=$B$68,MONTH((DATE($B$68,$A$68,1)-WEEKDAY(DATE($B$68,$A$68,1),2)+1)+17)=$A$68),((DATE($B$68,$A$68,1)-WEEKDAY(DATE($B$68,$A$68,1),2)+1)+17), "")</f>
        <v>42964</v>
      </c>
      <c r="K74" s="196">
        <f>IF(AND(YEAR((DATE($B$68,$A$68,1)-WEEKDAY(DATE($B$68,$A$68,1),2)+1)+18)=$B$68,MONTH((DATE($B$68,$A$68,1)-WEEKDAY(DATE($B$68,$A$68,1),2)+1)+18)=$A$68),((DATE($B$68,$A$68,1)-WEEKDAY(DATE($B$68,$A$68,1),2)+1)+18), "")</f>
        <v>42965</v>
      </c>
      <c r="L74" s="197">
        <f>IF(AND(YEAR((DATE($B$68,$A$68,1)-WEEKDAY(DATE($B$68,$A$68,1),2)+1)+19)=$B$68,MONTH((DATE($B$68,$A$68,1)-WEEKDAY(DATE($B$68,$A$68,1),2)+1)+19)=$A$68),((DATE($B$68,$A$68,1)-WEEKDAY(DATE($B$68,$A$68,1),2)+1)+19), "")</f>
        <v>42966</v>
      </c>
      <c r="M74" s="198">
        <f>IF(AND(YEAR((DATE($B$68,$A$68,1)-WEEKDAY(DATE($B$68,$A$68,1),2)+1)+20)=$B$68,MONTH((DATE($B$68,$A$68,1)-WEEKDAY(DATE($B$68,$A$68,1),2)+1)+20)=$A$68),((DATE($B$68,$A$68,1)-WEEKDAY(DATE($B$68,$A$68,1),2)+1)+20), "")</f>
        <v>42967</v>
      </c>
      <c r="N74" s="155"/>
      <c r="O74" s="230">
        <f t="shared" ref="O74:O76" si="7">WEEKNUM(P74,21)</f>
        <v>37</v>
      </c>
      <c r="P74" s="196">
        <f>IF(AND(YEAR((DATE($B$69,$A$69,1)-WEEKDAY(DATE($B$69,$A$69,1),2)+1)+14)=$B$69,MONTH((DATE($B$69,$A$69,1)-WEEKDAY(DATE($B$69,$A$69,1),2)+1)+14)=$A$69),((DATE($B$69,$A$69,1)-WEEKDAY(DATE($B$69,$A$69,1),2)+1)+14), "")</f>
        <v>42989</v>
      </c>
      <c r="Q74" s="196">
        <f>IF(AND(YEAR((DATE($B$69,$A$69,1)-WEEKDAY(DATE($B$69,$A$69,1),2)+1)+15)=$B$69,MONTH((DATE($B$69,$A$69,1)-WEEKDAY(DATE($B$69,$A$69,1),2)+1)+15)=$A$69),((DATE($B$69,$A$69,1)-WEEKDAY(DATE($B$69,$A$69,1),2)+1)+15), "")</f>
        <v>42990</v>
      </c>
      <c r="R74" s="196">
        <f>IF(AND(YEAR((DATE($B$69,$A$69,1)-WEEKDAY(DATE($B$69,$A$69,1),2)+1)+16)=$B$69,MONTH((DATE($B$69,$A$69,1)-WEEKDAY(DATE($B$69,$A$69,1),2)+1)+16)=$A$69),((DATE($B$69,$A$69,1)-WEEKDAY(DATE($B$69,$A$69,1),2)+1)+16), "")</f>
        <v>42991</v>
      </c>
      <c r="S74" s="196">
        <f>IF(AND(YEAR((DATE($B$69,$A$69,1)-WEEKDAY(DATE($B$69,$A$69,1),2)+1)+17)=$B$69,MONTH((DATE($B$69,$A$69,1)-WEEKDAY(DATE($B$69,$A$69,1),2)+1)+17)=$A$69),((DATE($B$69,$A$69,1)-WEEKDAY(DATE($B$69,$A$69,1),2)+1)+17), "")</f>
        <v>42992</v>
      </c>
      <c r="T74" s="196">
        <f>IF(AND(YEAR((DATE($B$69,$A$69,1)-WEEKDAY(DATE($B$69,$A$69,1),2)+1)+18)=$B$69,MONTH((DATE($B$69,$A$69,1)-WEEKDAY(DATE($B$69,$A$69,1),2)+1)+18)=$A$69),((DATE($B$69,$A$69,1)-WEEKDAY(DATE($B$69,$A$69,1),2)+1)+18), "")</f>
        <v>42993</v>
      </c>
      <c r="U74" s="221">
        <f>IF(AND(YEAR((DATE($B$69,$A$69,1)-WEEKDAY(DATE($B$69,$A$69,1),2)+1)+19)=$B$69,MONTH((DATE($B$69,$A$69,1)-WEEKDAY(DATE($B$69,$A$69,1),2)+1)+19)=$A$69),((DATE($B$69,$A$69,1)-WEEKDAY(DATE($B$69,$A$69,1),2)+1)+19), "")</f>
        <v>42994</v>
      </c>
      <c r="V74" s="221"/>
      <c r="W74" s="198">
        <f>IF(AND(YEAR((DATE($B$69,$A$69,1)-WEEKDAY(DATE($B$69,$A$69,1),2)+1)+20)=$B$69,MONTH((DATE($B$69,$A$69,1)-WEEKDAY(DATE($B$69,$A$69,1),2)+1)+20)=$A$69),((DATE($B$69,$A$69,1)-WEEKDAY(DATE($B$69,$A$69,1),2)+1)+20), "")</f>
        <v>42995</v>
      </c>
      <c r="X74" s="155"/>
      <c r="Y74" s="230">
        <f t="shared" ref="Y74:Y76" si="8">WEEKNUM(Z74,21)</f>
        <v>41</v>
      </c>
      <c r="Z74" s="196">
        <f>IF(AND(YEAR((DATE($B$70,$A$70,1)-WEEKDAY(DATE($B$70,$A$70,1),2)+1)+14)=$B$70,MONTH((DATE($B$70,$A$70,1)-WEEKDAY(DATE($B$70,$A$70,1),2)+1)+14)=$A$70),((DATE($B$70,$A$70,1)-WEEKDAY(DATE($B$70,$A$70,1),2)+1)+14), "")</f>
        <v>43017</v>
      </c>
      <c r="AA74" s="196">
        <f>IF(AND(YEAR((DATE($B$70,$A$70,1)-WEEKDAY(DATE($B$70,$A$70,1),2)+1)+15)=$B$70,MONTH((DATE($B$70,$A$70,1)-WEEKDAY(DATE($B$70,$A$70,1),2)+1)+15)=$A$70),((DATE($B$70,$A$70,1)-WEEKDAY(DATE($B$70,$A$70,1),2)+1)+15), "")</f>
        <v>43018</v>
      </c>
      <c r="AB74" s="196">
        <f>IF(AND(YEAR((DATE($B$70,$A$70,1)-WEEKDAY(DATE($B$70,$A$70,1),2)+1)+16)=$B$70,MONTH((DATE($B$70,$A$70,1)-WEEKDAY(DATE($B$70,$A$70,1),2)+1)+16)=$A$70),((DATE($B$70,$A$70,1)-WEEKDAY(DATE($B$70,$A$70,1),2)+1)+16), "")</f>
        <v>43019</v>
      </c>
      <c r="AC74" s="196">
        <f>IF(AND(YEAR((DATE($B$70,$A$70,1)-WEEKDAY(DATE($B$70,$A$70,1),2)+1)+17)=$B$70,MONTH((DATE($B$70,$A$70,1)-WEEKDAY(DATE($B$70,$A$70,1),2)+1)+17)=$A$70),((DATE($B$70,$A$70,1)-WEEKDAY(DATE($B$70,$A$70,1),2)+1)+17), "")</f>
        <v>43020</v>
      </c>
      <c r="AD74" s="196">
        <f>IF(AND(YEAR((DATE($B$70,$A$70,1)-WEEKDAY(DATE($B$70,$A$70,1),2)+1)+18)=$B$70,MONTH((DATE($B$70,$A$70,1)-WEEKDAY(DATE($B$70,$A$70,1),2)+1)+18)=$A$70),((DATE($B$70,$A$70,1)-WEEKDAY(DATE($B$70,$A$70,1),2)+1)+18), "")</f>
        <v>43021</v>
      </c>
      <c r="AE74" s="197">
        <f>IF(AND(YEAR((DATE($B$70,$A$70,1)-WEEKDAY(DATE($B$70,$A$70,1),2)+1)+19)=$B$70,MONTH((DATE($B$70,$A$70,1)-WEEKDAY(DATE($B$70,$A$70,1),2)+1)+19)=$A$70),((DATE($B$70,$A$70,1)-WEEKDAY(DATE($B$70,$A$70,1),2)+1)+19), "")</f>
        <v>43022</v>
      </c>
      <c r="AF74" s="198">
        <f>IF(AND(YEAR((DATE($B$70,$A$70,1)-WEEKDAY(DATE($B$70,$A$70,1),2)+1)+20)=$B$70,MONTH((DATE($B$70,$A$70,1)-WEEKDAY(DATE($B$70,$A$70,1),2)+1)+20)=$A$70),((DATE($B$70,$A$70,1)-WEEKDAY(DATE($B$70,$A$70,1),2)+1)+20), "")</f>
        <v>43023</v>
      </c>
      <c r="AG74" s="155"/>
      <c r="AH74" s="230">
        <f t="shared" ref="AH74:AH76" si="9">WEEKNUM(AI74,21)</f>
        <v>46</v>
      </c>
      <c r="AI74" s="196">
        <f>IF(AND(YEAR((DATE($B$71,$A$71,1)-WEEKDAY(DATE($B$71,$A$71,1),2)+1)+14)=$B$71,MONTH((DATE($B$71,$A$71,1)-WEEKDAY(DATE($B$71,$A$71,1),2)+1)+14)=$A$71),((DATE($B$71,$A$71,1)-WEEKDAY(DATE($B$71,$A$71,1),2)+1)+14), "")</f>
        <v>43052</v>
      </c>
      <c r="AJ74" s="196">
        <f>IF(AND(YEAR((DATE($B$71,$A$71,1)-WEEKDAY(DATE($B$71,$A$71,1),2)+1)+15)=$B$71,MONTH((DATE($B$71,$A$71,1)-WEEKDAY(DATE($B$71,$A$71,1),2)+1)+15)=$A$71),((DATE($B$71,$A$71,1)-WEEKDAY(DATE($B$71,$A$71,1),2)+1)+15), "")</f>
        <v>43053</v>
      </c>
      <c r="AK74" s="196">
        <f>IF(AND(YEAR((DATE($B$71,$A$71,1)-WEEKDAY(DATE($B$71,$A$71,1),2)+1)+16)=$B$71,MONTH((DATE($B$71,$A$71,1)-WEEKDAY(DATE($B$71,$A$71,1),2)+1)+16)=$A$71),((DATE($B$71,$A$71,1)-WEEKDAY(DATE($B$71,$A$71,1),2)+1)+16), "")</f>
        <v>43054</v>
      </c>
      <c r="AL74" s="196">
        <f>IF(AND(YEAR((DATE($B$71,$A$71,1)-WEEKDAY(DATE($B$71,$A$71,1),2)+1)+17)=$B$71,MONTH((DATE($B$71,$A$71,1)-WEEKDAY(DATE($B$71,$A$71,1),2)+1)+17)=$A$71),((DATE($B$71,$A$71,1)-WEEKDAY(DATE($B$71,$A$71,1),2)+1)+17), "")</f>
        <v>43055</v>
      </c>
      <c r="AM74" s="196">
        <f>IF(AND(YEAR((DATE($B$71,$A$71,1)-WEEKDAY(DATE($B$71,$A$71,1),2)+1)+18)=$B$71,MONTH((DATE($B$71,$A$71,1)-WEEKDAY(DATE($B$71,$A$71,1),2)+1)+18)=$A$71),((DATE($B$71,$A$71,1)-WEEKDAY(DATE($B$71,$A$71,1),2)+1)+18), "")</f>
        <v>43056</v>
      </c>
      <c r="AN74" s="197">
        <f>IF(AND(YEAR((DATE($B$71,$A$71,1)-WEEKDAY(DATE($B$71,$A$71,1),2)+1)+19)=$B$71,MONTH((DATE($B$71,$A$71,1)-WEEKDAY(DATE($B$71,$A$71,1),2)+1)+19)=$A$71),((DATE($B$71,$A$71,1)-WEEKDAY(DATE($B$71,$A$71,1),2)+1)+19), "")</f>
        <v>43057</v>
      </c>
      <c r="AO74" s="198">
        <f>IF(AND(YEAR((DATE($B$71,$A$71,1)-WEEKDAY(DATE($B$71,$A$71,1),2)+1)+20)=$B$71,MONTH((DATE($B$71,$A$71,1)-WEEKDAY(DATE($B$71,$A$71,1),2)+1)+20)=$A$71),((DATE($B$71,$A$71,1)-WEEKDAY(DATE($B$71,$A$71,1),2)+1)+20), "")</f>
        <v>43058</v>
      </c>
      <c r="AQ74" s="202" t="s">
        <v>186</v>
      </c>
      <c r="AR74" s="233">
        <v>7</v>
      </c>
    </row>
    <row r="75" spans="1:44" x14ac:dyDescent="0.25">
      <c r="A75" s="161"/>
      <c r="B75" s="159"/>
      <c r="C75" s="159"/>
      <c r="D75" s="160"/>
      <c r="F75" s="230">
        <f t="shared" si="6"/>
        <v>34</v>
      </c>
      <c r="G75" s="196">
        <f>IF(AND(YEAR((DATE($B$68,$A$68,1)-WEEKDAY(DATE($B$68,$A$68,1),2)+1)+21)=$B$68,MONTH((DATE($B$68,$A$68,1)-WEEKDAY(DATE($B$68,$A$68,1),2)+1)+21)=$A$68),((DATE($B$68,$A$68,1)-WEEKDAY(DATE($B$68,$A$68,1),2)+1)+21), "")</f>
        <v>42968</v>
      </c>
      <c r="H75" s="196">
        <f>IF(AND(YEAR((DATE($B$68,$A$68,1)-WEEKDAY(DATE($B$68,$A$68,1),2)+1)+22)=$B$68,MONTH((DATE($B$68,$A$68,1)-WEEKDAY(DATE($B$68,$A$68,1),2)+1)+22)=$A$68),((DATE($B$68,$A$68,1)-WEEKDAY(DATE($B$68,$A$68,1),2)+1)+22), "")</f>
        <v>42969</v>
      </c>
      <c r="I75" s="196">
        <f>IF(AND(YEAR((DATE($B$68,$A$68,1)-WEEKDAY(DATE($B$68,$A$68,1),2)+1)+23)=$B$68,MONTH((DATE($B$68,$A$68,1)-WEEKDAY(DATE($B$68,$A$68,1),2)+1)+23)=$A$68),((DATE($B$68,$A$68,1)-WEEKDAY(DATE($B$68,$A$68,1),2)+1)+23), "")</f>
        <v>42970</v>
      </c>
      <c r="J75" s="196">
        <f>IF(AND(YEAR((DATE($B$68,$A$68,1)-WEEKDAY(DATE($B$68,$A$68,1),2)+1)+24)=$B$68,MONTH((DATE($B$68,$A$68,1)-WEEKDAY(DATE($B$68,$A$68,1),2)+1)+24)=$A$68),((DATE($B$68,$A$68,1)-WEEKDAY(DATE($B$68,$A$68,1),2)+1)+24), "")</f>
        <v>42971</v>
      </c>
      <c r="K75" s="196">
        <f>IF(AND(YEAR((DATE($B$68,$A$68,1)-WEEKDAY(DATE($B$68,$A$68,1),2)+1)+25)=$B$68,MONTH((DATE($B$68,$A$68,1)-WEEKDAY(DATE($B$68,$A$68,1),2)+1)+25)=$A$68),((DATE($B$68,$A$68,1)-WEEKDAY(DATE($B$68,$A$68,1),2)+1)+25), "")</f>
        <v>42972</v>
      </c>
      <c r="L75" s="197">
        <f>IF(AND(YEAR((DATE($B$68,$A$68,1)-WEEKDAY(DATE($B$68,$A$68,1),2)+1)+26)=$B$68,MONTH((DATE($B$68,$A$68,1)-WEEKDAY(DATE($B$68,$A$68,1),2)+1)+26)=$A$68),((DATE($B$68,$A$68,1)-WEEKDAY(DATE($B$68,$A$68,1),2)+1)+26), "")</f>
        <v>42973</v>
      </c>
      <c r="M75" s="198">
        <f>IF(AND(YEAR((DATE($B$68,$A$68,1)-WEEKDAY(DATE($B$68,$A$68,1),2)+1)+27)=$B$68,MONTH((DATE($B$68,$A$68,1)-WEEKDAY(DATE($B$68,$A$68,1),2)+1)+27)=$A$68),((DATE($B$68,$A$68,1)-WEEKDAY(DATE($B$68,$A$68,1),2)+1)+27), "")</f>
        <v>42974</v>
      </c>
      <c r="N75" s="155"/>
      <c r="O75" s="230">
        <f t="shared" si="7"/>
        <v>38</v>
      </c>
      <c r="P75" s="196">
        <f>IF(AND(YEAR((DATE($B$69,$A$69,1)-WEEKDAY(DATE($B$69,$A$69,1),2)+1)+21)=$B$69,MONTH((DATE($B$69,$A$69,1)-WEEKDAY(DATE($B$69,$A$69,1),2)+1)+21)=$A$69),((DATE($B$69,$A$69,1)-WEEKDAY(DATE($B$69,$A$69,1),2)+1)+21), "")</f>
        <v>42996</v>
      </c>
      <c r="Q75" s="196">
        <f>IF(AND(YEAR((DATE($B$69,$A$69,1)-WEEKDAY(DATE($B$69,$A$69,1),2)+1)+22)=$B$69,MONTH((DATE($B$69,$A$69,1)-WEEKDAY(DATE($B$69,$A$69,1),2)+1)+22)=$A$69),((DATE($B$69,$A$69,1)-WEEKDAY(DATE($B$69,$A$69,1),2)+1)+22), "")</f>
        <v>42997</v>
      </c>
      <c r="R75" s="196">
        <f>IF(AND(YEAR((DATE($B$69,$A$69,1)-WEEKDAY(DATE($B$69,$A$69,1),2)+1)+23)=$B$69,MONTH((DATE($B$69,$A$69,1)-WEEKDAY(DATE($B$69,$A$69,1),2)+1)+23)=$A$69),((DATE($B$69,$A$69,1)-WEEKDAY(DATE($B$69,$A$69,1),2)+1)+23), "")</f>
        <v>42998</v>
      </c>
      <c r="S75" s="196">
        <f>IF(AND(YEAR((DATE($B$69,$A$69,1)-WEEKDAY(DATE($B$69,$A$69,1),2)+1)+24)=$B$69,MONTH((DATE($B$69,$A$69,1)-WEEKDAY(DATE($B$69,$A$69,1),2)+1)+24)=$A$69),((DATE($B$69,$A$69,1)-WEEKDAY(DATE($B$69,$A$69,1),2)+1)+24), "")</f>
        <v>42999</v>
      </c>
      <c r="T75" s="196">
        <f>IF(AND(YEAR((DATE($B$69,$A$69,1)-WEEKDAY(DATE($B$69,$A$69,1),2)+1)+25)=$B$69,MONTH((DATE($B$69,$A$69,1)-WEEKDAY(DATE($B$69,$A$69,1),2)+1)+25)=$A$69),((DATE($B$69,$A$69,1)-WEEKDAY(DATE($B$69,$A$69,1),2)+1)+25), "")</f>
        <v>43000</v>
      </c>
      <c r="U75" s="221">
        <f>IF(AND(YEAR((DATE($B$69,$A$69,1)-WEEKDAY(DATE($B$69,$A$69,1),2)+1)+26)=$B$69,MONTH((DATE($B$69,$A$69,1)-WEEKDAY(DATE($B$69,$A$69,1),2)+1)+26)=$A$69),((DATE($B$69,$A$69,1)-WEEKDAY(DATE($B$69,$A$69,1),2)+1)+26), "")</f>
        <v>43001</v>
      </c>
      <c r="V75" s="221"/>
      <c r="W75" s="198">
        <f>IF(AND(YEAR((DATE($B$69,$A$69,1)-WEEKDAY(DATE($B$69,$A$69,1),2)+1)+27)=$B$69,MONTH((DATE($B$69,$A$69,1)-WEEKDAY(DATE($B$69,$A$69,1),2)+1)+27)=$A$69),((DATE($B$69,$A$69,1)-WEEKDAY(DATE($B$69,$A$69,1),2)+1)+27), "")</f>
        <v>43002</v>
      </c>
      <c r="X75" s="155"/>
      <c r="Y75" s="230">
        <f t="shared" si="8"/>
        <v>42</v>
      </c>
      <c r="Z75" s="196">
        <f>IF(AND(YEAR((DATE($B$70,$A$70,1)-WEEKDAY(DATE($B$70,$A$70,1),2)+1)+21)=$B$70,MONTH((DATE($B$70,$A$70,1)-WEEKDAY(DATE($B$70,$A$70,1),2)+1)+21)=$A$70),((DATE($B$70,$A$70,1)-WEEKDAY(DATE($B$70,$A$70,1),2)+1)+21), "")</f>
        <v>43024</v>
      </c>
      <c r="AA75" s="196">
        <f>IF(AND(YEAR((DATE($B$70,$A$70,1)-WEEKDAY(DATE($B$70,$A$70,1),2)+1)+22)=$B$70,MONTH((DATE($B$70,$A$70,1)-WEEKDAY(DATE($B$70,$A$70,1),2)+1)+22)=$A$70),((DATE($B$70,$A$70,1)-WEEKDAY(DATE($B$70,$A$70,1),2)+1)+22), "")</f>
        <v>43025</v>
      </c>
      <c r="AB75" s="196">
        <f>IF(AND(YEAR((DATE($B$70,$A$70,1)-WEEKDAY(DATE($B$70,$A$70,1),2)+1)+23)=$B$70,MONTH((DATE($B$70,$A$70,1)-WEEKDAY(DATE($B$70,$A$70,1),2)+1)+23)=$A$70),((DATE($B$70,$A$70,1)-WEEKDAY(DATE($B$70,$A$70,1),2)+1)+23), "")</f>
        <v>43026</v>
      </c>
      <c r="AC75" s="196">
        <f>IF(AND(YEAR((DATE($B$70,$A$70,1)-WEEKDAY(DATE($B$70,$A$70,1),2)+1)+24)=$B$70,MONTH((DATE($B$70,$A$70,1)-WEEKDAY(DATE($B$70,$A$70,1),2)+1)+24)=$A$70),((DATE($B$70,$A$70,1)-WEEKDAY(DATE($B$70,$A$70,1),2)+1)+24), "")</f>
        <v>43027</v>
      </c>
      <c r="AD75" s="196">
        <f>IF(AND(YEAR((DATE($B$70,$A$70,1)-WEEKDAY(DATE($B$70,$A$70,1),2)+1)+25)=$B$70,MONTH((DATE($B$70,$A$70,1)-WEEKDAY(DATE($B$70,$A$70,1),2)+1)+25)=$A$70),((DATE($B$70,$A$70,1)-WEEKDAY(DATE($B$70,$A$70,1),2)+1)+25), "")</f>
        <v>43028</v>
      </c>
      <c r="AE75" s="197">
        <f>IF(AND(YEAR((DATE($B$70,$A$70,1)-WEEKDAY(DATE($B$70,$A$70,1),2)+1)+26)=$B$70,MONTH((DATE($B$70,$A$70,1)-WEEKDAY(DATE($B$70,$A$70,1),2)+1)+26)=$A$70),((DATE($B$70,$A$70,1)-WEEKDAY(DATE($B$70,$A$70,1),2)+1)+26), "")</f>
        <v>43029</v>
      </c>
      <c r="AF75" s="198">
        <f>IF(AND(YEAR((DATE($B$70,$A$70,1)-WEEKDAY(DATE($B$70,$A$70,1),2)+1)+27)=$B$70,MONTH((DATE($B$70,$A$70,1)-WEEKDAY(DATE($B$70,$A$70,1),2)+1)+27)=$A$70),((DATE($B$70,$A$70,1)-WEEKDAY(DATE($B$70,$A$70,1),2)+1)+27), "")</f>
        <v>43030</v>
      </c>
      <c r="AG75" s="155"/>
      <c r="AH75" s="230">
        <f t="shared" si="9"/>
        <v>47</v>
      </c>
      <c r="AI75" s="196">
        <f>IF(AND(YEAR((DATE($B$71,$A$71,1)-WEEKDAY(DATE($B$71,$A$71,1),2)+1)+21)=$B$71,MONTH((DATE($B$71,$A$71,1)-WEEKDAY(DATE($B$71,$A$71,1),2)+1)+21)=$A$71),((DATE($B$71,$A$71,1)-WEEKDAY(DATE($B$71,$A$71,1),2)+1)+21), "")</f>
        <v>43059</v>
      </c>
      <c r="AJ75" s="196">
        <f>IF(AND(YEAR((DATE($B$71,$A$71,1)-WEEKDAY(DATE($B$71,$A$71,1),2)+1)+22)=$B$71,MONTH((DATE($B$71,$A$71,1)-WEEKDAY(DATE($B$71,$A$71,1),2)+1)+22)=$A$71),((DATE($B$71,$A$71,1)-WEEKDAY(DATE($B$71,$A$71,1),2)+1)+22), "")</f>
        <v>43060</v>
      </c>
      <c r="AK75" s="196">
        <f>IF(AND(YEAR((DATE($B$71,$A$71,1)-WEEKDAY(DATE($B$71,$A$71,1),2)+1)+23)=$B$71,MONTH((DATE($B$71,$A$71,1)-WEEKDAY(DATE($B$71,$A$71,1),2)+1)+23)=$A$71),((DATE($B$71,$A$71,1)-WEEKDAY(DATE($B$71,$A$71,1),2)+1)+23), "")</f>
        <v>43061</v>
      </c>
      <c r="AL75" s="196">
        <f>IF(AND(YEAR((DATE($B$71,$A$71,1)-WEEKDAY(DATE($B$71,$A$71,1),2)+1)+24)=$B$71,MONTH((DATE($B$71,$A$71,1)-WEEKDAY(DATE($B$71,$A$71,1),2)+1)+24)=$A$71),((DATE($B$71,$A$71,1)-WEEKDAY(DATE($B$71,$A$71,1),2)+1)+24), "")</f>
        <v>43062</v>
      </c>
      <c r="AM75" s="196">
        <f>IF(AND(YEAR((DATE($B$71,$A$71,1)-WEEKDAY(DATE($B$71,$A$71,1),2)+1)+25)=$B$71,MONTH((DATE($B$71,$A$71,1)-WEEKDAY(DATE($B$71,$A$71,1),2)+1)+25)=$A$71),((DATE($B$71,$A$71,1)-WEEKDAY(DATE($B$71,$A$71,1),2)+1)+25), "")</f>
        <v>43063</v>
      </c>
      <c r="AN75" s="197">
        <f>IF(AND(YEAR((DATE($B$71,$A$71,1)-WEEKDAY(DATE($B$71,$A$71,1),2)+1)+26)=$B$71,MONTH((DATE($B$71,$A$71,1)-WEEKDAY(DATE($B$71,$A$71,1),2)+1)+26)=$A$71),((DATE($B$71,$A$71,1)-WEEKDAY(DATE($B$71,$A$71,1),2)+1)+26), "")</f>
        <v>43064</v>
      </c>
      <c r="AO75" s="198">
        <f>IF(AND(YEAR((DATE($B$71,$A$71,1)-WEEKDAY(DATE($B$71,$A$71,1),2)+1)+27)=$B$71,MONTH((DATE($B$71,$A$71,1)-WEEKDAY(DATE($B$71,$A$71,1),2)+1)+27)=$A$71),((DATE($B$71,$A$71,1)-WEEKDAY(DATE($B$71,$A$71,1),2)+1)+27), "")</f>
        <v>43065</v>
      </c>
      <c r="AQ75" s="202" t="s">
        <v>184</v>
      </c>
      <c r="AR75" s="228">
        <v>7</v>
      </c>
    </row>
    <row r="76" spans="1:44" x14ac:dyDescent="0.25">
      <c r="A76" s="161"/>
      <c r="B76" s="159"/>
      <c r="C76" s="159"/>
      <c r="D76" s="160"/>
      <c r="F76" s="230">
        <f t="shared" si="6"/>
        <v>35</v>
      </c>
      <c r="G76" s="196">
        <f>IF(AND(YEAR((DATE($B$68,$A$68,1)-WEEKDAY(DATE($B$68,$A$68,1),2)+1)+28)=$B$68,MONTH((DATE($B$68,$A$68,1)-WEEKDAY(DATE($B$68,$A$68,1),2)+1)+28)=$A$68),((DATE($B$68,$A$68,1)-WEEKDAY(DATE($B$68,$A$68,1),2)+1)+28), "")</f>
        <v>42975</v>
      </c>
      <c r="H76" s="196">
        <f>IF(AND(YEAR((DATE($B$68,$A$68,1)-WEEKDAY(DATE($B$68,$A$68,1),2)+1)+29)=$B$68,MONTH((DATE($B$68,$A$68,1)-WEEKDAY(DATE($B$68,$A$68,1),2)+1)+29)=$A$68),((DATE($B$68,$A$68,1)-WEEKDAY(DATE($B$68,$A$68,1),2)+1)+29), "")</f>
        <v>42976</v>
      </c>
      <c r="I76" s="196">
        <f>IF(AND(YEAR((DATE($B$68,$A$68,1)-WEEKDAY(DATE($B$68,$A$68,1),2)+1)+30)=$B$68,MONTH((DATE($B$68,$A$68,1)-WEEKDAY(DATE($B$68,$A$68,1),2)+1)+30)=$A$68),((DATE($B$68,$A$68,1)-WEEKDAY(DATE($B$68,$A$68,1),2)+1)+30), "")</f>
        <v>42977</v>
      </c>
      <c r="J76" s="196">
        <f>IF(AND(YEAR((DATE($B$68,$A$68,1)-WEEKDAY(DATE($B$68,$A$68,1),2)+1)+31)=$B$68,MONTH((DATE($B$68,$A$68,1)-WEEKDAY(DATE($B$68,$A$68,1),2)+1)+31)=$A$68),((DATE($B$68,$A$68,1)-WEEKDAY(DATE($B$68,$A$68,1),2)+1)+31), "")</f>
        <v>42978</v>
      </c>
      <c r="K76" s="196" t="str">
        <f>IF(AND(YEAR((DATE($B$68,$A$68,1)-WEEKDAY(DATE($B$68,$A$68,1),2)+1)+32)=$B$68,MONTH((DATE($B$68,$A$68,1)-WEEKDAY(DATE($B$68,$A$68,1),2)+1)+32)=$A$68),((DATE($B$68,$A$68,1)-WEEKDAY(DATE($B$68,$A$68,1),2)+1)+32), "")</f>
        <v/>
      </c>
      <c r="L76" s="197" t="str">
        <f>IF(AND(YEAR((DATE($B$68,$A$68,1)-WEEKDAY(DATE($B$68,$A$68,1),2)+1)+33)=$B$68,MONTH((DATE($B$68,$A$68,1)-WEEKDAY(DATE($B$68,$A$68,1),2)+1)+33)=$A$68),((DATE($B$68,$A$68,1)-WEEKDAY(DATE($B$68,$A$68,1),2)+1)+33), "")</f>
        <v/>
      </c>
      <c r="M76" s="198" t="str">
        <f>IF(AND(YEAR((DATE($B$68,$A$68,1)-WEEKDAY(DATE($B$68,$A$68,1),2)+1)+34)=$B$68,MONTH((DATE($B$68,$A$68,1)-WEEKDAY(DATE($B$68,$A$68,1),2)+1)+34)=$A$68),((DATE($B$68,$A$68,1)-WEEKDAY(DATE($B$68,$A$68,1),2)+1)+34), "")</f>
        <v/>
      </c>
      <c r="N76" s="155"/>
      <c r="O76" s="230">
        <f t="shared" si="7"/>
        <v>39</v>
      </c>
      <c r="P76" s="196">
        <f>IF(AND(YEAR((DATE($B$69,$A$69,1)-WEEKDAY(DATE($B$69,$A$69,1),2)+1)+28)=$B$69,MONTH((DATE($B$69,$A$69,1)-WEEKDAY(DATE($B$69,$A$69,1),2)+1)+28)=$A$69),((DATE($B$69,$A$69,1)-WEEKDAY(DATE($B$69,$A$69,1),2)+1)+28), "")</f>
        <v>43003</v>
      </c>
      <c r="Q76" s="196">
        <f>IF(AND(YEAR((DATE($B$69,$A$69,1)-WEEKDAY(DATE($B$69,$A$69,1),2)+1)+29)=$B$69,MONTH((DATE($B$69,$A$69,1)-WEEKDAY(DATE($B$69,$A$69,1),2)+1)+29)=$A$69),((DATE($B$69,$A$69,1)-WEEKDAY(DATE($B$69,$A$69,1),2)+1)+29), "")</f>
        <v>43004</v>
      </c>
      <c r="R76" s="196">
        <f>IF(AND(YEAR((DATE($B$69,$A$69,1)-WEEKDAY(DATE($B$69,$A$69,1),2)+1)+30)=$B$69,MONTH((DATE($B$69,$A$69,1)-WEEKDAY(DATE($B$69,$A$69,1),2)+1)+30)=$A$69),((DATE($B$69,$A$69,1)-WEEKDAY(DATE($B$69,$A$69,1),2)+1)+30), "")</f>
        <v>43005</v>
      </c>
      <c r="S76" s="196">
        <f>IF(AND(YEAR((DATE($B$69,$A$69,1)-WEEKDAY(DATE($B$69,$A$69,1),2)+1)+31)=$B$69,MONTH((DATE($B$69,$A$69,1)-WEEKDAY(DATE($B$69,$A$69,1),2)+1)+31)=$A$69),((DATE($B$69,$A$69,1)-WEEKDAY(DATE($B$69,$A$69,1),2)+1)+31), "")</f>
        <v>43006</v>
      </c>
      <c r="T76" s="196">
        <f>IF(AND(YEAR((DATE($B$69,$A$69,1)-WEEKDAY(DATE($B$69,$A$69,1),2)+1)+32)=$B$69,MONTH((DATE($B$69,$A$69,1)-WEEKDAY(DATE($B$69,$A$69,1),2)+1)+32)=$A$69),((DATE($B$69,$A$69,1)-WEEKDAY(DATE($B$69,$A$69,1),2)+1)+32), "")</f>
        <v>43007</v>
      </c>
      <c r="U76" s="221">
        <f>IF(AND(YEAR((DATE($B$69,$A$69,1)-WEEKDAY(DATE($B$69,$A$69,1),2)+1)+33)=$B$69,MONTH((DATE($B$69,$A$69,1)-WEEKDAY(DATE($B$69,$A$69,1),2)+1)+33)=$A$69),((DATE($B$69,$A$69,1)-WEEKDAY(DATE($B$69,$A$69,1),2)+1)+33), "")</f>
        <v>43008</v>
      </c>
      <c r="V76" s="221"/>
      <c r="W76" s="198" t="str">
        <f>IF(AND(YEAR((DATE($B$69,$A$69,1)-WEEKDAY(DATE($B$69,$A$69,1),2)+1)+34)=$B$69,MONTH((DATE($B$69,$A$69,1)-WEEKDAY(DATE($B$69,$A$69,1),2)+1)+34)=$A$69),((DATE($B$69,$A$69,1)-WEEKDAY(DATE($B$69,$A$69,1),2)+1)+34), "")</f>
        <v/>
      </c>
      <c r="X76" s="155"/>
      <c r="Y76" s="230">
        <f t="shared" si="8"/>
        <v>43</v>
      </c>
      <c r="Z76" s="196">
        <f>IF(AND(YEAR((DATE($B$70,$A$70,1)-WEEKDAY(DATE($B$70,$A$70,1),2)+1)+28)=$B$70,MONTH((DATE($B$70,$A$70,1)-WEEKDAY(DATE($B$70,$A$70,1),2)+1)+28)=$A$70),((DATE($B$70,$A$70,1)-WEEKDAY(DATE($B$70,$A$70,1),2)+1)+28), "")</f>
        <v>43031</v>
      </c>
      <c r="AA76" s="196">
        <f>IF(AND(YEAR((DATE($B$70,$A$70,1)-WEEKDAY(DATE($B$70,$A$70,1),2)+1)+29)=$B$70,MONTH((DATE($B$70,$A$70,1)-WEEKDAY(DATE($B$70,$A$70,1),2)+1)+29)=$A$70),((DATE($B$70,$A$70,1)-WEEKDAY(DATE($B$70,$A$70,1),2)+1)+29), "")</f>
        <v>43032</v>
      </c>
      <c r="AB76" s="196">
        <f>IF(AND(YEAR((DATE($B$70,$A$70,1)-WEEKDAY(DATE($B$70,$A$70,1),2)+1)+30)=$B$70,MONTH((DATE($B$70,$A$70,1)-WEEKDAY(DATE($B$70,$A$70,1),2)+1)+30)=$A$70),((DATE($B$70,$A$70,1)-WEEKDAY(DATE($B$70,$A$70,1),2)+1)+30), "")</f>
        <v>43033</v>
      </c>
      <c r="AC76" s="196">
        <f>IF(AND(YEAR((DATE($B$70,$A$70,1)-WEEKDAY(DATE($B$70,$A$70,1),2)+1)+31)=$B$70,MONTH((DATE($B$70,$A$70,1)-WEEKDAY(DATE($B$70,$A$70,1),2)+1)+31)=$A$70),((DATE($B$70,$A$70,1)-WEEKDAY(DATE($B$70,$A$70,1),2)+1)+31), "")</f>
        <v>43034</v>
      </c>
      <c r="AD76" s="196">
        <f>IF(AND(YEAR((DATE($B$70,$A$70,1)-WEEKDAY(DATE($B$70,$A$70,1),2)+1)+32)=$B$70,MONTH((DATE($B$70,$A$70,1)-WEEKDAY(DATE($B$70,$A$70,1),2)+1)+32)=$A$70),((DATE($B$70,$A$70,1)-WEEKDAY(DATE($B$70,$A$70,1),2)+1)+32), "")</f>
        <v>43035</v>
      </c>
      <c r="AE76" s="197">
        <f>IF(AND(YEAR((DATE($B$70,$A$70,1)-WEEKDAY(DATE($B$70,$A$70,1),2)+1)+33)=$B$70,MONTH((DATE($B$70,$A$70,1)-WEEKDAY(DATE($B$70,$A$70,1),2)+1)+33)=$A$70),((DATE($B$70,$A$70,1)-WEEKDAY(DATE($B$70,$A$70,1),2)+1)+33), "")</f>
        <v>43036</v>
      </c>
      <c r="AF76" s="198">
        <f>IF(AND(YEAR((DATE($B$70,$A$70,1)-WEEKDAY(DATE($B$70,$A$70,1),2)+1)+34)=$B$70,MONTH((DATE($B$70,$A$70,1)-WEEKDAY(DATE($B$70,$A$70,1),2)+1)+34)=$A$70),((DATE($B$70,$A$70,1)-WEEKDAY(DATE($B$70,$A$70,1),2)+1)+34), "")</f>
        <v>43037</v>
      </c>
      <c r="AG76" s="155"/>
      <c r="AH76" s="230">
        <f t="shared" si="9"/>
        <v>48</v>
      </c>
      <c r="AI76" s="196">
        <f>IF(AND(YEAR((DATE($B$71,$A$71,1)-WEEKDAY(DATE($B$71,$A$71,1),2)+1)+28)=$B$71,MONTH((DATE($B$71,$A$71,1)-WEEKDAY(DATE($B$71,$A$71,1),2)+1)+28)=$A$71),((DATE($B$71,$A$71,1)-WEEKDAY(DATE($B$71,$A$71,1),2)+1)+28), "")</f>
        <v>43066</v>
      </c>
      <c r="AJ76" s="196">
        <f>IF(AND(YEAR((DATE($B$71,$A$71,1)-WEEKDAY(DATE($B$71,$A$71,1),2)+1)+29)=$B$71,MONTH((DATE($B$71,$A$71,1)-WEEKDAY(DATE($B$71,$A$71,1),2)+1)+29)=$A$71),((DATE($B$71,$A$71,1)-WEEKDAY(DATE($B$71,$A$71,1),2)+1)+29), "")</f>
        <v>43067</v>
      </c>
      <c r="AK76" s="196">
        <f>IF(AND(YEAR((DATE($B$71,$A$71,1)-WEEKDAY(DATE($B$71,$A$71,1),2)+1)+30)=$B$71,MONTH((DATE($B$71,$A$71,1)-WEEKDAY(DATE($B$71,$A$71,1),2)+1)+30)=$A$71),((DATE($B$71,$A$71,1)-WEEKDAY(DATE($B$71,$A$71,1),2)+1)+30), "")</f>
        <v>43068</v>
      </c>
      <c r="AL76" s="196">
        <f>IF(AND(YEAR((DATE($B$71,$A$71,1)-WEEKDAY(DATE($B$71,$A$71,1),2)+1)+31)=$B$71,MONTH((DATE($B$71,$A$71,1)-WEEKDAY(DATE($B$71,$A$71,1),2)+1)+31)=$A$71),((DATE($B$71,$A$71,1)-WEEKDAY(DATE($B$71,$A$71,1),2)+1)+31), "")</f>
        <v>43069</v>
      </c>
      <c r="AM76" s="196" t="str">
        <f>IF(AND(YEAR((DATE($B$71,$A$71,1)-WEEKDAY(DATE($B$71,$A$71,1),2)+1)+32)=$B$71,MONTH((DATE($B$71,$A$71,1)-WEEKDAY(DATE($B$71,$A$71,1),2)+1)+32)=$A$71),((DATE($B$71,$A$71,1)-WEEKDAY(DATE($B$71,$A$71,1),2)+1)+32), "")</f>
        <v/>
      </c>
      <c r="AN76" s="197" t="str">
        <f>IF(AND(YEAR((DATE($B$71,$A$71,1)-WEEKDAY(DATE($B$71,$A$71,1),2)+1)+33)=$B$71,MONTH((DATE($B$71,$A$71,1)-WEEKDAY(DATE($B$71,$A$71,1),2)+1)+33)=$A$71),((DATE($B$71,$A$71,1)-WEEKDAY(DATE($B$71,$A$71,1),2)+1)+33), "")</f>
        <v/>
      </c>
      <c r="AO76" s="198" t="str">
        <f>IF(AND(YEAR((DATE($B$71,$A$71,1)-WEEKDAY(DATE($B$71,$A$71,1),2)+1)+34)=$B$71,MONTH((DATE($B$71,$A$71,1)-WEEKDAY(DATE($B$71,$A$71,1),2)+1)+34)=$A$71),((DATE($B$71,$A$71,1)-WEEKDAY(DATE($B$71,$A$71,1),2)+1)+34), "")</f>
        <v/>
      </c>
      <c r="AQ76" s="202" t="s">
        <v>185</v>
      </c>
      <c r="AR76" s="232">
        <v>14</v>
      </c>
    </row>
    <row r="77" spans="1:44" ht="15.75" thickBot="1" x14ac:dyDescent="0.3">
      <c r="A77" s="163"/>
      <c r="B77" s="164"/>
      <c r="C77" s="164"/>
      <c r="D77" s="165"/>
      <c r="F77" s="231" t="str">
        <f>IF(G77="","",WEEKNUM(G77,21))</f>
        <v/>
      </c>
      <c r="G77" s="199" t="str">
        <f>IF(AND(YEAR((DATE($B$68,$A$68,1)-WEEKDAY(DATE($B$68,$A$68,1),2)+1)+35)=$B$68,MONTH((DATE($B$68,$A$68,1)-WEEKDAY(DATE($B$68,$A$68,1),2)+1)+35)=$A$68),((DATE($B$68,$A$68,1)-WEEKDAY(DATE($B$68,$A$68,1),2)+1)+35), "")</f>
        <v/>
      </c>
      <c r="H77" s="199" t="str">
        <f>IF(AND(YEAR((DATE($B$68,$A$68,1)-WEEKDAY(DATE($B$68,$A$68,1),2)+1)+36)=$B$68,MONTH((DATE($B$68,$A$68,1)-WEEKDAY(DATE($B$68,$A$68,1),2)+1)+36)=$A$68),((DATE($B$68,$A$68,1)-WEEKDAY(DATE($B$68,$A$68,1),2)+1)+36), "")</f>
        <v/>
      </c>
      <c r="I77" s="199" t="str">
        <f>IF(AND(YEAR((DATE($B$68,$A$68,1)-WEEKDAY(DATE($B$68,$A$68,1),2)+1)+37)=$B$68,MONTH((DATE($B$68,$A$68,1)-WEEKDAY(DATE($B$68,$A$68,1),2)+1)+37)=$A$68),((DATE($B$68,$A$68,1)-WEEKDAY(DATE($B$68,$A$68,1),2)+1)+37), "")</f>
        <v/>
      </c>
      <c r="J77" s="199" t="str">
        <f>IF(AND(YEAR((DATE($B$68,$A$68,1)-WEEKDAY(DATE($B$68,$A$68,1),2)+1)+38)=$B$68,MONTH((DATE($B$68,$A$68,1)-WEEKDAY(DATE($B$68,$A$68,1),2)+1)+38)=$A$68),((DATE($B$68,$A$68,1)-WEEKDAY(DATE($B$68,$A$68,1),2)+1)+38), "")</f>
        <v/>
      </c>
      <c r="K77" s="199" t="str">
        <f>IF(AND(YEAR((DATE($B$68,$A$68,1)-WEEKDAY(DATE($B$68,$A$68,1),2)+1)+39)=$B$68,MONTH((DATE($B$68,$A$68,1)-WEEKDAY(DATE($B$68,$A$68,1),2)+1)+39)=$A$68),((DATE($B$68,$A$68,1)-WEEKDAY(DATE($B$68,$A$68,1),2)+1)+39), "")</f>
        <v/>
      </c>
      <c r="L77" s="200" t="str">
        <f>IF(AND(YEAR((DATE($B$68,$A$68,1)-WEEKDAY(DATE($B$68,$A$68,1),2)+1)+40)=$B$68,MONTH((DATE($B$68,$A$68,1)-WEEKDAY(DATE($B$68,$A$68,1),2)+1)+40)=$A$68),((DATE($B$68,$A$68,1)-WEEKDAY(DATE($B$68,$A$68,1),2)+1)+40), "")</f>
        <v/>
      </c>
      <c r="M77" s="201" t="str">
        <f>IF(AND(YEAR((DATE($B$68,$A$68,1)-WEEKDAY(DATE($B$68,$A$68,1),2)+1)+41)=$B$68,MONTH((DATE($B$68,$A$68,1)-WEEKDAY(DATE($B$68,$A$68,1),2)+1)+41)=$A$68),((DATE($B$68,$A$68,1)-WEEKDAY(DATE($B$68,$A$68,1),2)+1)+41), "")</f>
        <v/>
      </c>
      <c r="N77" s="155"/>
      <c r="O77" s="231" t="str">
        <f>IF(P77="","",WEEKNUM(P77,21))</f>
        <v/>
      </c>
      <c r="P77" s="199" t="str">
        <f>IF(AND(YEAR((DATE($B$69,$A$69,1)-WEEKDAY(DATE($B$69,$A$69,1),2)+1)+35)=$B$69,MONTH((DATE($B$69,$A$69,1)-WEEKDAY(DATE($B$69,$A$69,1),2)+1)+35)=$A$69),((DATE($B$69,$A$69,1)-WEEKDAY(DATE($B$69,$A$69,1),2)+1)+35), "")</f>
        <v/>
      </c>
      <c r="Q77" s="199" t="str">
        <f>IF(AND(YEAR((DATE($B$69,$A$69,1)-WEEKDAY(DATE($B$69,$A$69,1),2)+1)+36)=$B$69,MONTH((DATE($B$69,$A$69,1)-WEEKDAY(DATE($B$69,$A$69,1),2)+1)+36)=$A$69),((DATE($B$69,$A$69,1)-WEEKDAY(DATE($B$69,$A$69,1),2)+1)+36), "")</f>
        <v/>
      </c>
      <c r="R77" s="199" t="str">
        <f>IF(AND(YEAR((DATE($B$69,$A$69,1)-WEEKDAY(DATE($B$69,$A$69,1),2)+1)+37)=$B$69,MONTH((DATE($B$69,$A$69,1)-WEEKDAY(DATE($B$69,$A$69,1),2)+1)+37)=$A$69),((DATE($B$69,$A$69,1)-WEEKDAY(DATE($B$69,$A$69,1),2)+1)+37), "")</f>
        <v/>
      </c>
      <c r="S77" s="199" t="str">
        <f>IF(AND(YEAR((DATE($B$69,$A$69,1)-WEEKDAY(DATE($B$69,$A$69,1),2)+1)+38)=$B$69,MONTH((DATE($B$69,$A$69,1)-WEEKDAY(DATE($B$69,$A$69,1),2)+1)+38)=$A$69),((DATE($B$69,$A$69,1)-WEEKDAY(DATE($B$69,$A$69,1),2)+1)+38), "")</f>
        <v/>
      </c>
      <c r="T77" s="199" t="str">
        <f>IF(AND(YEAR((DATE($B$69,$A$69,1)-WEEKDAY(DATE($B$69,$A$69,1),2)+1)+39)=$B$69,MONTH((DATE($B$69,$A$69,1)-WEEKDAY(DATE($B$69,$A$69,1),2)+1)+39)=$A$69),((DATE($B$69,$A$69,1)-WEEKDAY(DATE($B$69,$A$69,1),2)+1)+39), "")</f>
        <v/>
      </c>
      <c r="U77" s="223" t="str">
        <f>IF(AND(YEAR((DATE($B$69,$A$69,1)-WEEKDAY(DATE($B$69,$A$69,1),2)+1)+40)=$B$69,MONTH((DATE($B$69,$A$69,1)-WEEKDAY(DATE($B$69,$A$69,1),2)+1)+40)=$A$69),((DATE($B$69,$A$69,1)-WEEKDAY(DATE($B$69,$A$69,1),2)+1)+40), "")</f>
        <v/>
      </c>
      <c r="V77" s="223"/>
      <c r="W77" s="201" t="str">
        <f>IF(AND(YEAR((DATE($B$69,$A$69,1)-WEEKDAY(DATE($B$69,$A$69,1),2)+1)+41)=$B$69,MONTH((DATE($B$69,$A$69,1)-WEEKDAY(DATE($B$69,$A$69,1),2)+1)+41)=$A$69),((DATE($B$69,$A$69,1)-WEEKDAY(DATE($B$69,$A$69,1),2)+1)+41), "")</f>
        <v/>
      </c>
      <c r="X77" s="155"/>
      <c r="Y77" s="231">
        <f>IF(Z77="","",WEEKNUM(Z77,21))</f>
        <v>44</v>
      </c>
      <c r="Z77" s="199">
        <f>IF(AND(YEAR((DATE($B$70,$A$70,1)-WEEKDAY(DATE($B$70,$A$70,1),2)+1)+35)=$B$70,MONTH((DATE($B$70,$A$70,1)-WEEKDAY(DATE($B$70,$A$70,1),2)+1)+35)=$A$70),((DATE($B$70,$A$70,1)-WEEKDAY(DATE($B$70,$A$70,1),2)+1)+35), "")</f>
        <v>43038</v>
      </c>
      <c r="AA77" s="199">
        <f>IF(AND(YEAR((DATE($B$70,$A$70,1)-WEEKDAY(DATE($B$70,$A$70,1),2)+1)+36)=$B$70,MONTH((DATE($B$70,$A$70,1)-WEEKDAY(DATE($B$70,$A$70,1),2)+1)+36)=$A$70),((DATE($B$70,$A$70,1)-WEEKDAY(DATE($B$70,$A$70,1),2)+1)+36), "")</f>
        <v>43039</v>
      </c>
      <c r="AB77" s="199" t="str">
        <f>IF(AND(YEAR((DATE($B$70,$A$70,1)-WEEKDAY(DATE($B$70,$A$70,1),2)+1)+37)=$B$70,MONTH((DATE($B$70,$A$70,1)-WEEKDAY(DATE($B$70,$A$70,1),2)+1)+37)=$A$70),((DATE($B$70,$A$70,1)-WEEKDAY(DATE($B$70,$A$70,1),2)+1)+37), "")</f>
        <v/>
      </c>
      <c r="AC77" s="199" t="str">
        <f>IF(AND(YEAR((DATE($B$70,$A$70,1)-WEEKDAY(DATE($B$70,$A$70,1),2)+1)+38)=$B$70,MONTH((DATE($B$70,$A$70,1)-WEEKDAY(DATE($B$70,$A$70,1),2)+1)+38)=$A$70),((DATE($B$70,$A$70,1)-WEEKDAY(DATE($B$70,$A$70,1),2)+1)+38), "")</f>
        <v/>
      </c>
      <c r="AD77" s="199" t="str">
        <f>IF(AND(YEAR((DATE($B$70,$A$70,1)-WEEKDAY(DATE($B$70,$A$70,1),2)+1)+39)=$B$70,MONTH((DATE($B$70,$A$70,1)-WEEKDAY(DATE($B$70,$A$70,1),2)+1)+39)=$A$70),((DATE($B$70,$A$70,1)-WEEKDAY(DATE($B$70,$A$70,1),2)+1)+39), "")</f>
        <v/>
      </c>
      <c r="AE77" s="200" t="str">
        <f>IF(AND(YEAR((DATE($B$70,$A$70,1)-WEEKDAY(DATE($B$70,$A$70,1),2)+1)+40)=$B$70,MONTH((DATE($B$70,$A$70,1)-WEEKDAY(DATE($B$70,$A$70,1),2)+1)+40)=$A$70),((DATE($B$70,$A$70,1)-WEEKDAY(DATE($B$70,$A$70,1),2)+1)+40), "")</f>
        <v/>
      </c>
      <c r="AF77" s="201" t="str">
        <f>IF(AND(YEAR((DATE($B$70,$A$70,1)-WEEKDAY(DATE($B$70,$A$70,1),2)+1)+41)=$B$70,MONTH((DATE($B$70,$A$70,1)-WEEKDAY(DATE($B$70,$A$70,1),2)+1)+41)=$A$70),((DATE($B$70,$A$70,1)-WEEKDAY(DATE($B$70,$A$70,1),2)+1)+41), "")</f>
        <v/>
      </c>
      <c r="AG77" s="155"/>
      <c r="AH77" s="231" t="str">
        <f>IF(AI77="","",WEEKNUM(AI77,21))</f>
        <v/>
      </c>
      <c r="AI77" s="199" t="str">
        <f>IF(AND(YEAR((DATE($B$71,$A$71,1)-WEEKDAY(DATE($B$71,$A$71,1),2)+1)+35)=$B$71,MONTH((DATE($B$71,$A$71,1)-WEEKDAY(DATE($B$71,$A$71,1),2)+1)+35)=$A$71),((DATE($B$71,$A$71,1)-WEEKDAY(DATE($B$71,$A$71,1),2)+1)+35), "")</f>
        <v/>
      </c>
      <c r="AJ77" s="199" t="str">
        <f>IF(AND(YEAR((DATE($B$71,$A$71,1)-WEEKDAY(DATE($B$71,$A$71,1),2)+1)+36)=$B$71,MONTH((DATE($B$71,$A$71,1)-WEEKDAY(DATE($B$71,$A$71,1),2)+1)+36)=$A$71),((DATE($B$71,$A$71,1)-WEEKDAY(DATE($B$71,$A$71,1),2)+1)+36), "")</f>
        <v/>
      </c>
      <c r="AK77" s="199" t="str">
        <f>IF(AND(YEAR((DATE($B$71,$A$71,1)-WEEKDAY(DATE($B$71,$A$71,1),2)+1)+37)=$B$71,MONTH((DATE($B$71,$A$71,1)-WEEKDAY(DATE($B$71,$A$71,1),2)+1)+37)=$A$71),((DATE($B$71,$A$71,1)-WEEKDAY(DATE($B$71,$A$71,1),2)+1)+37), "")</f>
        <v/>
      </c>
      <c r="AL77" s="199" t="str">
        <f>IF(AND(YEAR((DATE($B$71,$A$71,1)-WEEKDAY(DATE($B$71,$A$71,1),2)+1)+38)=$B$71,MONTH((DATE($B$71,$A$71,1)-WEEKDAY(DATE($B$71,$A$71,1),2)+1)+38)=$A$71),((DATE($B$71,$A$71,1)-WEEKDAY(DATE($B$71,$A$71,1),2)+1)+38), "")</f>
        <v/>
      </c>
      <c r="AM77" s="199" t="str">
        <f>IF(AND(YEAR((DATE($B$71,$A$71,1)-WEEKDAY(DATE($B$71,$A$71,1),2)+1)+39)=$B$71,MONTH((DATE($B$71,$A$71,1)-WEEKDAY(DATE($B$71,$A$71,1),2)+1)+39)=$A$71),((DATE($B$71,$A$71,1)-WEEKDAY(DATE($B$71,$A$71,1),2)+1)+39), "")</f>
        <v/>
      </c>
      <c r="AN77" s="200" t="str">
        <f>IF(AND(YEAR((DATE($B$71,$A$71,1)-WEEKDAY(DATE($B$71,$A$71,1),2)+1)+40)=$B$71,MONTH((DATE($B$71,$A$71,1)-WEEKDAY(DATE($B$71,$A$71,1),2)+1)+40)=$A$71),((DATE($B$71,$A$71,1)-WEEKDAY(DATE($B$71,$A$71,1),2)+1)+40), "")</f>
        <v/>
      </c>
      <c r="AO77" s="201" t="str">
        <f>IF(AND(YEAR((DATE($B$71,$A$71,1)-WEEKDAY(DATE($B$71,$A$71,1),2)+1)+41)=$B$71,MONTH((DATE($B$71,$A$71,1)-WEEKDAY(DATE($B$71,$A$71,1),2)+1)+41)=$A$71),((DATE($B$71,$A$71,1)-WEEKDAY(DATE($B$71,$A$71,1),2)+1)+41), "")</f>
        <v/>
      </c>
      <c r="AQ77" s="205"/>
      <c r="AR77" s="206" t="s">
        <v>42</v>
      </c>
    </row>
    <row r="78" spans="1:44" x14ac:dyDescent="0.2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row>
  </sheetData>
  <sheetProtection algorithmName="SHA-512" hashValue="e7KlIvHTOc5400bqNudYu6yEzeG/2do60L7kWkemPoImruYIOc5/DJOP1gpuLlRYib0l2TE45sUgUi6WcE1pjQ==" saltValue="1JGyJknC8bR5svy2wHEr5A==" spinCount="100000" sheet="1" objects="1" scenarios="1" selectLockedCells="1"/>
  <mergeCells count="53">
    <mergeCell ref="M2:AP2"/>
    <mergeCell ref="M3:AP3"/>
    <mergeCell ref="M4:AP4"/>
    <mergeCell ref="U77:V77"/>
    <mergeCell ref="R33:T33"/>
    <mergeCell ref="R34:T34"/>
    <mergeCell ref="R35:T35"/>
    <mergeCell ref="R36:T36"/>
    <mergeCell ref="R37:T37"/>
    <mergeCell ref="R40:T40"/>
    <mergeCell ref="R41:T41"/>
    <mergeCell ref="R42:T42"/>
    <mergeCell ref="R43:T43"/>
    <mergeCell ref="R46:T46"/>
    <mergeCell ref="R47:T47"/>
    <mergeCell ref="R48:T48"/>
    <mergeCell ref="R49:T49"/>
    <mergeCell ref="R50:T50"/>
    <mergeCell ref="U72:V72"/>
    <mergeCell ref="U73:V73"/>
    <mergeCell ref="U74:V74"/>
    <mergeCell ref="U75:V75"/>
    <mergeCell ref="U76:V76"/>
    <mergeCell ref="G61:M61"/>
    <mergeCell ref="G70:M70"/>
    <mergeCell ref="P70:W70"/>
    <mergeCell ref="P61:W61"/>
    <mergeCell ref="Z61:AF61"/>
    <mergeCell ref="Z70:AF70"/>
    <mergeCell ref="U63:V63"/>
    <mergeCell ref="U64:V64"/>
    <mergeCell ref="U65:V65"/>
    <mergeCell ref="U66:V66"/>
    <mergeCell ref="U67:V67"/>
    <mergeCell ref="U68:V68"/>
    <mergeCell ref="U62:V62"/>
    <mergeCell ref="AI61:AO61"/>
    <mergeCell ref="AI70:AO70"/>
    <mergeCell ref="U71:V71"/>
    <mergeCell ref="Q54:T54"/>
    <mergeCell ref="R53:T53"/>
    <mergeCell ref="R56:T56"/>
    <mergeCell ref="R57:T57"/>
    <mergeCell ref="R58:T58"/>
    <mergeCell ref="Q51:T51"/>
    <mergeCell ref="Q44:T44"/>
    <mergeCell ref="Q38:T38"/>
    <mergeCell ref="L12:N12"/>
    <mergeCell ref="R28:T28"/>
    <mergeCell ref="R29:T29"/>
    <mergeCell ref="Q27:T27"/>
    <mergeCell ref="Q30:T30"/>
    <mergeCell ref="R32:T32"/>
  </mergeCells>
  <conditionalFormatting sqref="V41">
    <cfRule type="expression" dxfId="223" priority="287">
      <formula>$B$20=FALSE</formula>
    </cfRule>
  </conditionalFormatting>
  <conditionalFormatting sqref="V46">
    <cfRule type="expression" dxfId="222" priority="194">
      <formula>$B$20=FALSE</formula>
    </cfRule>
  </conditionalFormatting>
  <conditionalFormatting sqref="V50">
    <cfRule type="expression" dxfId="221" priority="193">
      <formula>$B$9=2</formula>
    </cfRule>
  </conditionalFormatting>
  <conditionalFormatting sqref="AT27:AT58">
    <cfRule type="cellIs" dxfId="220" priority="191" operator="equal">
      <formula>"zaterdag"</formula>
    </cfRule>
    <cfRule type="cellIs" dxfId="219" priority="192" operator="equal">
      <formula>"zondag"</formula>
    </cfRule>
  </conditionalFormatting>
  <conditionalFormatting sqref="V37">
    <cfRule type="expression" dxfId="218" priority="293">
      <formula>$B$19=FALSE</formula>
    </cfRule>
  </conditionalFormatting>
  <conditionalFormatting sqref="V36">
    <cfRule type="expression" dxfId="217" priority="151">
      <formula>$B$19=FALSE</formula>
    </cfRule>
  </conditionalFormatting>
  <conditionalFormatting sqref="Q28:Q30 Q38 R32:R37 Q44 T39 R40:R43 Q51 R46:R50 Q54 R53 R56:R58">
    <cfRule type="expression" dxfId="216" priority="440">
      <formula>$AT28="zondag"</formula>
    </cfRule>
    <cfRule type="expression" dxfId="215" priority="441">
      <formula>$AT28="zaterdag"</formula>
    </cfRule>
  </conditionalFormatting>
  <conditionalFormatting sqref="Q27">
    <cfRule type="expression" dxfId="214" priority="145">
      <formula>$AT27="zondag"</formula>
    </cfRule>
    <cfRule type="expression" dxfId="213" priority="146">
      <formula>$AT27="zaterdag"</formula>
    </cfRule>
  </conditionalFormatting>
  <conditionalFormatting sqref="T31 T39 T45 T52 T55">
    <cfRule type="expression" dxfId="212" priority="461">
      <formula>COUNTIF($AU$8:$AV$20,$T31)=1</formula>
    </cfRule>
  </conditionalFormatting>
  <conditionalFormatting sqref="U27:U58">
    <cfRule type="expression" dxfId="211" priority="466">
      <formula>COUNTIF($AX$8:$AX$20,$AU27)=1</formula>
    </cfRule>
  </conditionalFormatting>
  <conditionalFormatting sqref="Q27:Q30 Q38 Q44 Q51 Q54">
    <cfRule type="expression" dxfId="210" priority="467">
      <formula>COUNTIF($AU$8:$AV$20,$Q27)=1</formula>
    </cfRule>
  </conditionalFormatting>
  <conditionalFormatting sqref="F63:F68 O63:O68 Y63:Y68 AH63:AH68 F72:F77 O72:O77 Y72:Y77 AH72:AH77">
    <cfRule type="cellIs" dxfId="209" priority="81" operator="equal">
      <formula>$AX$20</formula>
    </cfRule>
    <cfRule type="cellIs" dxfId="208" priority="82" operator="equal">
      <formula>$AX$19</formula>
    </cfRule>
    <cfRule type="cellIs" dxfId="207" priority="83" operator="between">
      <formula>$AX$11</formula>
      <formula>$AX$18</formula>
    </cfRule>
    <cfRule type="cellIs" dxfId="206" priority="84" operator="equal">
      <formula>$AX$10</formula>
    </cfRule>
    <cfRule type="cellIs" dxfId="205" priority="85" operator="equal">
      <formula>$AX$9</formula>
    </cfRule>
    <cfRule type="cellIs" dxfId="204" priority="86" operator="equal">
      <formula>$AX$8</formula>
    </cfRule>
  </conditionalFormatting>
  <conditionalFormatting sqref="G63:M68 P63:W68 Z63:AF68 AI63:AO68 G72:M77 P72:W77 Z72:AF77 AI72:AO77">
    <cfRule type="cellIs" dxfId="203" priority="125" operator="equal">
      <formula>$AV$20</formula>
    </cfRule>
    <cfRule type="cellIs" dxfId="202" priority="4168" operator="between">
      <formula>$Q$38</formula>
      <formula>$Q$44</formula>
    </cfRule>
    <cfRule type="cellIs" dxfId="201" priority="4169" operator="between">
      <formula>$AX$26</formula>
      <formula>$Q$30</formula>
    </cfRule>
    <cfRule type="cellIs" dxfId="200" priority="4170" operator="between">
      <formula>$R$36</formula>
      <formula>$R$37</formula>
    </cfRule>
    <cfRule type="cellIs" dxfId="199" priority="4171" operator="between">
      <formula>$Q$51</formula>
      <formula>$R$53</formula>
    </cfRule>
  </conditionalFormatting>
  <conditionalFormatting sqref="G63:M68 Z63:AF68 AI63:AO68 G72:M77 Z72:AF77 AI72:AO77 P63:W68 P72:W77">
    <cfRule type="cellIs" dxfId="198" priority="129" operator="equal">
      <formula>$AV$19</formula>
    </cfRule>
    <cfRule type="cellIs" dxfId="197" priority="4078" operator="equal">
      <formula>$AU$15</formula>
    </cfRule>
    <cfRule type="cellIs" dxfId="196" priority="4163" operator="equal">
      <formula>$AU$14</formula>
    </cfRule>
    <cfRule type="cellIs" dxfId="195" priority="4164" operator="equal">
      <formula>$AU$13</formula>
    </cfRule>
    <cfRule type="cellIs" dxfId="194" priority="4165" operator="equal">
      <formula>$AU$12</formula>
    </cfRule>
    <cfRule type="cellIs" dxfId="193" priority="4166" operator="equal">
      <formula>$AU$11</formula>
    </cfRule>
    <cfRule type="cellIs" dxfId="192" priority="4167" operator="equal">
      <formula>$AU$8</formula>
    </cfRule>
  </conditionalFormatting>
  <conditionalFormatting sqref="G63:M68 Z63:AF68 AI63:AO68 G72:M77 Z72:AF77 AI72:AO77 P63:W68 P72:W77">
    <cfRule type="cellIs" dxfId="191" priority="130" operator="equal">
      <formula>$AV$18</formula>
    </cfRule>
  </conditionalFormatting>
  <conditionalFormatting sqref="G63:M68 Z63:AF68 AI63:AO68 G72:M77 Z72:AF77 AI72:AO77 P63:W68 P72:W77">
    <cfRule type="cellIs" dxfId="190" priority="137" operator="equal">
      <formula>$AV$17</formula>
    </cfRule>
  </conditionalFormatting>
  <conditionalFormatting sqref="G63:M68 Z63:AF68 AI63:AO68 G72:M77 Z72:AF77 AI72:AO77 P63:W68 P72:W77">
    <cfRule type="cellIs" dxfId="189" priority="138" operator="equal">
      <formula>$AV$16</formula>
    </cfRule>
  </conditionalFormatting>
  <conditionalFormatting sqref="G63:M68 Z63:AF68 AI63:AO68 G72:M77 Z72:AF77 AI72:AO77 P63:W68 P72:W77">
    <cfRule type="cellIs" dxfId="188" priority="4067" operator="equal">
      <formula>$AV$15</formula>
    </cfRule>
  </conditionalFormatting>
  <conditionalFormatting sqref="G63:M68 Z63:AF68 AI63:AO68 G72:M77 Z72:AF77 AI72:AO77 P63:W68 P72:W77">
    <cfRule type="cellIs" dxfId="187" priority="4068" operator="equal">
      <formula>$AV$14</formula>
    </cfRule>
  </conditionalFormatting>
  <conditionalFormatting sqref="G63:M68 Z63:AF68 AI63:AO68 G72:M77 Z72:AF77 AI72:AO77 P63:W68 P72:W77">
    <cfRule type="cellIs" dxfId="186" priority="4069" operator="equal">
      <formula>$AV$13</formula>
    </cfRule>
  </conditionalFormatting>
  <conditionalFormatting sqref="G63:M68 Z63:AF68 AI63:AO68 G72:M77 Z72:AF77 AI72:AO77 P63:W68 P72:W77">
    <cfRule type="cellIs" dxfId="185" priority="4070" operator="equal">
      <formula>$AV$12</formula>
    </cfRule>
  </conditionalFormatting>
  <conditionalFormatting sqref="G63:M68 Z63:AF68 AI63:AO68 G72:M77 Z72:AF77 AI72:AO77 P63:W68 P72:W77">
    <cfRule type="cellIs" dxfId="184" priority="4071" operator="equal">
      <formula>$AV$11</formula>
    </cfRule>
  </conditionalFormatting>
  <conditionalFormatting sqref="G63:M68 Z63:AF68 AI63:AO68 G72:M77 Z72:AF77 AI72:AO77 P63:W68 P72:W77">
    <cfRule type="cellIs" dxfId="183" priority="4072" operator="equal">
      <formula>$AV$8</formula>
    </cfRule>
  </conditionalFormatting>
  <conditionalFormatting sqref="G63:M68 Z63:AF68 AI63:AO68 G72:M77 Z72:AF77 AI72:AO77 P63:W68 P72:W77">
    <cfRule type="cellIs" dxfId="182" priority="4073" operator="equal">
      <formula>$AU$20</formula>
    </cfRule>
  </conditionalFormatting>
  <conditionalFormatting sqref="G63:M68 Z63:AF68 AI63:AO68 G72:M77 Z72:AF77 AI72:AO77 P63:W68 P72:W77">
    <cfRule type="cellIs" dxfId="181" priority="4074" operator="equal">
      <formula>$AU$19</formula>
    </cfRule>
  </conditionalFormatting>
  <conditionalFormatting sqref="G63:M68 Z63:AF68 AI63:AO68 G72:M77 Z72:AF77 AI72:AO77 P63:W68 P72:W77">
    <cfRule type="cellIs" dxfId="180" priority="4075" operator="equal">
      <formula>$AU$18</formula>
    </cfRule>
  </conditionalFormatting>
  <conditionalFormatting sqref="G63:M68 Z63:AF68 AI63:AO68 G72:M77 Z72:AF77 AI72:AO77 P63:W68 P72:W77">
    <cfRule type="cellIs" dxfId="179" priority="4076" operator="equal">
      <formula>$AU$17</formula>
    </cfRule>
  </conditionalFormatting>
  <conditionalFormatting sqref="G63:M68 Z63:AF68 AI63:AO68 G72:M77 Z72:AF77 AI72:AO77 P63:W68 P72:W77">
    <cfRule type="cellIs" dxfId="178" priority="4077" operator="equal">
      <formula>$AU$16</formula>
    </cfRule>
  </conditionalFormatting>
  <conditionalFormatting sqref="L63:M68 U63:W68 AE63:AF68 AN63:AO68 L72:M77 U72:W77 AE72:AF77 AN72:AO77">
    <cfRule type="cellIs" dxfId="177" priority="108" operator="equal">
      <formula>$Q$51</formula>
    </cfRule>
  </conditionalFormatting>
  <conditionalFormatting sqref="L63:M68 AE63:AF68 AN63:AO68 L72:M77 AE72:AF77 AN72:AO77 U63:W68 U72:W77">
    <cfRule type="cellIs" dxfId="176" priority="2" operator="equal">
      <formula>$AX$26-1</formula>
    </cfRule>
  </conditionalFormatting>
  <conditionalFormatting sqref="R28">
    <cfRule type="expression" dxfId="175" priority="6">
      <formula>$AT28="zondag"</formula>
    </cfRule>
    <cfRule type="expression" dxfId="174" priority="7">
      <formula>$AT28="zaterdag"</formula>
    </cfRule>
  </conditionalFormatting>
  <conditionalFormatting sqref="R28">
    <cfRule type="expression" dxfId="173" priority="8">
      <formula>COUNTIF($AU$8:$AV$20,$Q28)=1</formula>
    </cfRule>
  </conditionalFormatting>
  <conditionalFormatting sqref="R29">
    <cfRule type="expression" dxfId="172" priority="3">
      <formula>$AT29="zondag"</formula>
    </cfRule>
    <cfRule type="expression" dxfId="171" priority="4">
      <formula>$AT29="zaterdag"</formula>
    </cfRule>
  </conditionalFormatting>
  <conditionalFormatting sqref="R29">
    <cfRule type="expression" dxfId="170" priority="5">
      <formula>COUNTIF($AU$8:$AV$20,$Q29)=1</formula>
    </cfRule>
  </conditionalFormatting>
  <conditionalFormatting sqref="R32:R37 R40:R43 R46:R50 R53 R56:R58">
    <cfRule type="expression" dxfId="169" priority="3455">
      <formula>COUNTIF($AU$8:$AV$20,$R32)=1</formula>
    </cfRule>
  </conditionalFormatting>
  <conditionalFormatting sqref="G63:K68 P63:T68 Z63:AD68 AI63:AM68 G72:K77 P72:T77 Z72:AD77 AI72:AM77">
    <cfRule type="cellIs" dxfId="168" priority="1" operator="equal">
      <formula>$AX$26-1</formula>
    </cfRule>
    <cfRule type="cellIs" dxfId="167" priority="88" operator="equal">
      <formula>$R$28</formula>
    </cfRule>
    <cfRule type="cellIs" dxfId="166" priority="90" operator="equal">
      <formula>$R$29</formula>
    </cfRule>
    <cfRule type="cellIs" dxfId="165" priority="92" operator="equal">
      <formula>$Q$30</formula>
    </cfRule>
    <cfRule type="cellIs" dxfId="164" priority="94" operator="equal">
      <formula>$R$36</formula>
    </cfRule>
    <cfRule type="cellIs" dxfId="163" priority="96" operator="equal">
      <formula>$Q$38</formula>
    </cfRule>
    <cfRule type="cellIs" dxfId="162" priority="98" operator="equal">
      <formula>$R$41</formula>
    </cfRule>
    <cfRule type="cellIs" dxfId="161" priority="100" operator="equal">
      <formula>$R$42</formula>
    </cfRule>
    <cfRule type="cellIs" dxfId="160" priority="103" operator="equal">
      <formula>$R$43</formula>
    </cfRule>
    <cfRule type="cellIs" dxfId="159" priority="105" operator="equal">
      <formula>$Q$44</formula>
    </cfRule>
    <cfRule type="cellIs" dxfId="158" priority="107" operator="equal">
      <formula>$Q$51</formula>
    </cfRule>
    <cfRule type="cellIs" dxfId="157" priority="109" operator="equal">
      <formula>$AX$54+1</formula>
    </cfRule>
  </conditionalFormatting>
  <conditionalFormatting sqref="L63:M68 L72:M77 AE63:AF68 AE72:AF77 AN63:AO68 AN72:AO77 U63:W68 U72:W77">
    <cfRule type="cellIs" dxfId="156" priority="89" operator="equal">
      <formula>$R$28</formula>
    </cfRule>
    <cfRule type="cellIs" dxfId="155" priority="91" operator="equal">
      <formula>$R$29</formula>
    </cfRule>
    <cfRule type="cellIs" dxfId="154" priority="93" operator="equal">
      <formula>$Q$30</formula>
    </cfRule>
    <cfRule type="cellIs" dxfId="153" priority="95" operator="equal">
      <formula>$R$36</formula>
    </cfRule>
    <cfRule type="cellIs" dxfId="152" priority="97" operator="equal">
      <formula>$Q$38</formula>
    </cfRule>
    <cfRule type="cellIs" dxfId="151" priority="99" operator="equal">
      <formula>$R$41</formula>
    </cfRule>
    <cfRule type="cellIs" dxfId="150" priority="102" operator="equal">
      <formula>$R$42</formula>
    </cfRule>
    <cfRule type="cellIs" dxfId="149" priority="104" operator="equal">
      <formula>$R$43</formula>
    </cfRule>
    <cfRule type="cellIs" dxfId="148" priority="106" operator="equal">
      <formula>$Q$44</formula>
    </cfRule>
    <cfRule type="cellIs" dxfId="147" priority="110" operator="equal">
      <formula>$AX$54+1</formula>
    </cfRule>
  </conditionalFormatting>
  <pageMargins left="0.70866141732283472" right="0.70866141732283472" top="0.74803149606299213" bottom="0.74803149606299213" header="0.31496062992125984" footer="0.31496062992125984"/>
  <pageSetup paperSize="9" scale="62" orientation="landscape" r:id="rId1"/>
  <headerFooter scaleWithDoc="0">
    <oddFooter>&amp;R&amp;10blad &amp;P/&amp;N</oddFooter>
  </headerFooter>
  <colBreaks count="1" manualBreakCount="1">
    <brk id="29" max="1048575" man="1"/>
  </colBreaks>
  <drawing r:id="rId2"/>
  <legacyDrawing r:id="rId3"/>
  <controls>
    <mc:AlternateContent xmlns:mc="http://schemas.openxmlformats.org/markup-compatibility/2006">
      <mc:Choice Requires="x14">
        <control shapeId="4142" r:id="rId4" name="DTPicker1">
          <controlPr defaultSize="0" print="0" autoLine="0" altText="kalenderinvoer" linkedCell="L12" r:id="rId5">
            <anchor moveWithCells="1">
              <from>
                <xdr:col>11</xdr:col>
                <xdr:colOff>0</xdr:colOff>
                <xdr:row>9</xdr:row>
                <xdr:rowOff>161925</xdr:rowOff>
              </from>
              <to>
                <xdr:col>16</xdr:col>
                <xdr:colOff>247650</xdr:colOff>
                <xdr:row>10</xdr:row>
                <xdr:rowOff>161925</xdr:rowOff>
              </to>
            </anchor>
          </controlPr>
        </control>
      </mc:Choice>
      <mc:Fallback>
        <control shapeId="4142" r:id="rId4" name="DTPicker1"/>
      </mc:Fallback>
    </mc:AlternateContent>
    <mc:AlternateContent xmlns:mc="http://schemas.openxmlformats.org/markup-compatibility/2006">
      <mc:Choice Requires="x14">
        <control shapeId="4098" r:id="rId6" name="Drop Down 2">
          <controlPr defaultSize="0" autoLine="0" autoPict="0">
            <anchor moveWithCells="1">
              <from>
                <xdr:col>11</xdr:col>
                <xdr:colOff>9525</xdr:colOff>
                <xdr:row>8</xdr:row>
                <xdr:rowOff>0</xdr:rowOff>
              </from>
              <to>
                <xdr:col>18</xdr:col>
                <xdr:colOff>133350</xdr:colOff>
                <xdr:row>9</xdr:row>
                <xdr:rowOff>9525</xdr:rowOff>
              </to>
            </anchor>
          </controlPr>
        </control>
      </mc:Choice>
    </mc:AlternateContent>
    <mc:AlternateContent xmlns:mc="http://schemas.openxmlformats.org/markup-compatibility/2006">
      <mc:Choice Requires="x14">
        <control shapeId="4099" r:id="rId7" name="Check Box 3">
          <controlPr locked="0" defaultSize="0" autoFill="0" autoLine="0" autoPict="0">
            <anchor moveWithCells="1">
              <from>
                <xdr:col>10</xdr:col>
                <xdr:colOff>247650</xdr:colOff>
                <xdr:row>15</xdr:row>
                <xdr:rowOff>0</xdr:rowOff>
              </from>
              <to>
                <xdr:col>17</xdr:col>
                <xdr:colOff>219075</xdr:colOff>
                <xdr:row>15</xdr:row>
                <xdr:rowOff>180975</xdr:rowOff>
              </to>
            </anchor>
          </controlPr>
        </control>
      </mc:Choice>
    </mc:AlternateContent>
    <mc:AlternateContent xmlns:mc="http://schemas.openxmlformats.org/markup-compatibility/2006">
      <mc:Choice Requires="x14">
        <control shapeId="4100" r:id="rId8" name="Check Box 4">
          <controlPr locked="0" defaultSize="0" autoFill="0" autoLine="0" autoPict="0">
            <anchor moveWithCells="1">
              <from>
                <xdr:col>10</xdr:col>
                <xdr:colOff>247650</xdr:colOff>
                <xdr:row>17</xdr:row>
                <xdr:rowOff>9525</xdr:rowOff>
              </from>
              <to>
                <xdr:col>17</xdr:col>
                <xdr:colOff>219075</xdr:colOff>
                <xdr:row>18</xdr:row>
                <xdr:rowOff>0</xdr:rowOff>
              </to>
            </anchor>
          </controlPr>
        </control>
      </mc:Choice>
    </mc:AlternateContent>
    <mc:AlternateContent xmlns:mc="http://schemas.openxmlformats.org/markup-compatibility/2006">
      <mc:Choice Requires="x14">
        <control shapeId="4101" r:id="rId9" name="Check Box 5">
          <controlPr locked="0" defaultSize="0" autoFill="0" autoLine="0" autoPict="0">
            <anchor moveWithCells="1">
              <from>
                <xdr:col>10</xdr:col>
                <xdr:colOff>247650</xdr:colOff>
                <xdr:row>19</xdr:row>
                <xdr:rowOff>9525</xdr:rowOff>
              </from>
              <to>
                <xdr:col>17</xdr:col>
                <xdr:colOff>219075</xdr:colOff>
                <xdr:row>20</xdr:row>
                <xdr:rowOff>9525</xdr:rowOff>
              </to>
            </anchor>
          </controlPr>
        </control>
      </mc:Choice>
    </mc:AlternateContent>
    <mc:AlternateContent xmlns:mc="http://schemas.openxmlformats.org/markup-compatibility/2006">
      <mc:Choice Requires="x14">
        <control shapeId="4104" r:id="rId10" name="Drop Down 8">
          <controlPr defaultSize="0" autoLine="0" autoPict="0">
            <anchor moveWithCells="1">
              <from>
                <xdr:col>11</xdr:col>
                <xdr:colOff>0</xdr:colOff>
                <xdr:row>6</xdr:row>
                <xdr:rowOff>19050</xdr:rowOff>
              </from>
              <to>
                <xdr:col>18</xdr:col>
                <xdr:colOff>123825</xdr:colOff>
                <xdr:row>7</xdr:row>
                <xdr:rowOff>28575</xdr:rowOff>
              </to>
            </anchor>
          </controlPr>
        </control>
      </mc:Choice>
    </mc:AlternateContent>
    <mc:AlternateContent xmlns:mc="http://schemas.openxmlformats.org/markup-compatibility/2006">
      <mc:Choice Requires="x14">
        <control shapeId="4107" r:id="rId11" name="Spinner 11">
          <controlPr defaultSize="0" print="0" autoPict="0">
            <anchor moveWithCells="1" sizeWithCells="1">
              <from>
                <xdr:col>23</xdr:col>
                <xdr:colOff>9525</xdr:colOff>
                <xdr:row>28</xdr:row>
                <xdr:rowOff>9525</xdr:rowOff>
              </from>
              <to>
                <xdr:col>23</xdr:col>
                <xdr:colOff>114300</xdr:colOff>
                <xdr:row>28</xdr:row>
                <xdr:rowOff>180975</xdr:rowOff>
              </to>
            </anchor>
          </controlPr>
        </control>
      </mc:Choice>
    </mc:AlternateContent>
    <mc:AlternateContent xmlns:mc="http://schemas.openxmlformats.org/markup-compatibility/2006">
      <mc:Choice Requires="x14">
        <control shapeId="4108" r:id="rId12" name="Spinner 12">
          <controlPr defaultSize="0" print="0" autoPict="0">
            <anchor moveWithCells="1" sizeWithCells="1">
              <from>
                <xdr:col>23</xdr:col>
                <xdr:colOff>9525</xdr:colOff>
                <xdr:row>29</xdr:row>
                <xdr:rowOff>0</xdr:rowOff>
              </from>
              <to>
                <xdr:col>23</xdr:col>
                <xdr:colOff>114300</xdr:colOff>
                <xdr:row>29</xdr:row>
                <xdr:rowOff>171450</xdr:rowOff>
              </to>
            </anchor>
          </controlPr>
        </control>
      </mc:Choice>
    </mc:AlternateContent>
    <mc:AlternateContent xmlns:mc="http://schemas.openxmlformats.org/markup-compatibility/2006">
      <mc:Choice Requires="x14">
        <control shapeId="4112" r:id="rId13" name="Check Box 16">
          <controlPr locked="0" defaultSize="0" autoFill="0" autoLine="0" autoPict="0">
            <anchor moveWithCells="1">
              <from>
                <xdr:col>10</xdr:col>
                <xdr:colOff>247650</xdr:colOff>
                <xdr:row>16</xdr:row>
                <xdr:rowOff>0</xdr:rowOff>
              </from>
              <to>
                <xdr:col>22</xdr:col>
                <xdr:colOff>95250</xdr:colOff>
                <xdr:row>17</xdr:row>
                <xdr:rowOff>0</xdr:rowOff>
              </to>
            </anchor>
          </controlPr>
        </control>
      </mc:Choice>
    </mc:AlternateContent>
    <mc:AlternateContent xmlns:mc="http://schemas.openxmlformats.org/markup-compatibility/2006">
      <mc:Choice Requires="x14">
        <control shapeId="4114" r:id="rId14" name="Spinner 18">
          <controlPr defaultSize="0" print="0" autoPict="0">
            <anchor moveWithCells="1" sizeWithCells="1">
              <from>
                <xdr:col>23</xdr:col>
                <xdr:colOff>9525</xdr:colOff>
                <xdr:row>31</xdr:row>
                <xdr:rowOff>0</xdr:rowOff>
              </from>
              <to>
                <xdr:col>23</xdr:col>
                <xdr:colOff>114300</xdr:colOff>
                <xdr:row>31</xdr:row>
                <xdr:rowOff>171450</xdr:rowOff>
              </to>
            </anchor>
          </controlPr>
        </control>
      </mc:Choice>
    </mc:AlternateContent>
    <mc:AlternateContent xmlns:mc="http://schemas.openxmlformats.org/markup-compatibility/2006">
      <mc:Choice Requires="x14">
        <control shapeId="4115" r:id="rId15" name="Spinner 19">
          <controlPr locked="0" defaultSize="0" print="0" autoPict="0">
            <anchor moveWithCells="1" sizeWithCells="1">
              <from>
                <xdr:col>23</xdr:col>
                <xdr:colOff>9525</xdr:colOff>
                <xdr:row>27</xdr:row>
                <xdr:rowOff>9525</xdr:rowOff>
              </from>
              <to>
                <xdr:col>23</xdr:col>
                <xdr:colOff>114300</xdr:colOff>
                <xdr:row>27</xdr:row>
                <xdr:rowOff>180975</xdr:rowOff>
              </to>
            </anchor>
          </controlPr>
        </control>
      </mc:Choice>
    </mc:AlternateContent>
    <mc:AlternateContent xmlns:mc="http://schemas.openxmlformats.org/markup-compatibility/2006">
      <mc:Choice Requires="x14">
        <control shapeId="4116" r:id="rId16" name="Spinner 20">
          <controlPr defaultSize="0" print="0" autoPict="0">
            <anchor moveWithCells="1" sizeWithCells="1">
              <from>
                <xdr:col>23</xdr:col>
                <xdr:colOff>9525</xdr:colOff>
                <xdr:row>32</xdr:row>
                <xdr:rowOff>0</xdr:rowOff>
              </from>
              <to>
                <xdr:col>23</xdr:col>
                <xdr:colOff>114300</xdr:colOff>
                <xdr:row>32</xdr:row>
                <xdr:rowOff>171450</xdr:rowOff>
              </to>
            </anchor>
          </controlPr>
        </control>
      </mc:Choice>
    </mc:AlternateContent>
    <mc:AlternateContent xmlns:mc="http://schemas.openxmlformats.org/markup-compatibility/2006">
      <mc:Choice Requires="x14">
        <control shapeId="4117" r:id="rId17" name="Spinner 21">
          <controlPr defaultSize="0" print="0" autoPict="0">
            <anchor moveWithCells="1" sizeWithCells="1">
              <from>
                <xdr:col>23</xdr:col>
                <xdr:colOff>9525</xdr:colOff>
                <xdr:row>33</xdr:row>
                <xdr:rowOff>0</xdr:rowOff>
              </from>
              <to>
                <xdr:col>23</xdr:col>
                <xdr:colOff>114300</xdr:colOff>
                <xdr:row>33</xdr:row>
                <xdr:rowOff>171450</xdr:rowOff>
              </to>
            </anchor>
          </controlPr>
        </control>
      </mc:Choice>
    </mc:AlternateContent>
    <mc:AlternateContent xmlns:mc="http://schemas.openxmlformats.org/markup-compatibility/2006">
      <mc:Choice Requires="x14">
        <control shapeId="4118" r:id="rId18" name="Spinner 22">
          <controlPr defaultSize="0" print="0" autoPict="0">
            <anchor moveWithCells="1" sizeWithCells="1">
              <from>
                <xdr:col>23</xdr:col>
                <xdr:colOff>9525</xdr:colOff>
                <xdr:row>34</xdr:row>
                <xdr:rowOff>0</xdr:rowOff>
              </from>
              <to>
                <xdr:col>23</xdr:col>
                <xdr:colOff>114300</xdr:colOff>
                <xdr:row>34</xdr:row>
                <xdr:rowOff>171450</xdr:rowOff>
              </to>
            </anchor>
          </controlPr>
        </control>
      </mc:Choice>
    </mc:AlternateContent>
    <mc:AlternateContent xmlns:mc="http://schemas.openxmlformats.org/markup-compatibility/2006">
      <mc:Choice Requires="x14">
        <control shapeId="4119" r:id="rId19" name="Spinner 23">
          <controlPr defaultSize="0" print="0" autoPict="0">
            <anchor moveWithCells="1" sizeWithCells="1">
              <from>
                <xdr:col>23</xdr:col>
                <xdr:colOff>9525</xdr:colOff>
                <xdr:row>37</xdr:row>
                <xdr:rowOff>0</xdr:rowOff>
              </from>
              <to>
                <xdr:col>23</xdr:col>
                <xdr:colOff>114300</xdr:colOff>
                <xdr:row>37</xdr:row>
                <xdr:rowOff>171450</xdr:rowOff>
              </to>
            </anchor>
          </controlPr>
        </control>
      </mc:Choice>
    </mc:AlternateContent>
    <mc:AlternateContent xmlns:mc="http://schemas.openxmlformats.org/markup-compatibility/2006">
      <mc:Choice Requires="x14">
        <control shapeId="4120" r:id="rId20" name="Spinner 24">
          <controlPr defaultSize="0" print="0" autoPict="0">
            <anchor moveWithCells="1" sizeWithCells="1">
              <from>
                <xdr:col>23</xdr:col>
                <xdr:colOff>9525</xdr:colOff>
                <xdr:row>42</xdr:row>
                <xdr:rowOff>9525</xdr:rowOff>
              </from>
              <to>
                <xdr:col>23</xdr:col>
                <xdr:colOff>114300</xdr:colOff>
                <xdr:row>42</xdr:row>
                <xdr:rowOff>180975</xdr:rowOff>
              </to>
            </anchor>
          </controlPr>
        </control>
      </mc:Choice>
    </mc:AlternateContent>
    <mc:AlternateContent xmlns:mc="http://schemas.openxmlformats.org/markup-compatibility/2006">
      <mc:Choice Requires="x14">
        <control shapeId="4121" r:id="rId21" name="Spinner 25">
          <controlPr defaultSize="0" print="0" autoPict="0">
            <anchor moveWithCells="1" sizeWithCells="1">
              <from>
                <xdr:col>23</xdr:col>
                <xdr:colOff>9525</xdr:colOff>
                <xdr:row>41</xdr:row>
                <xdr:rowOff>9525</xdr:rowOff>
              </from>
              <to>
                <xdr:col>23</xdr:col>
                <xdr:colOff>114300</xdr:colOff>
                <xdr:row>41</xdr:row>
                <xdr:rowOff>180975</xdr:rowOff>
              </to>
            </anchor>
          </controlPr>
        </control>
      </mc:Choice>
    </mc:AlternateContent>
    <mc:AlternateContent xmlns:mc="http://schemas.openxmlformats.org/markup-compatibility/2006">
      <mc:Choice Requires="x14">
        <control shapeId="4122" r:id="rId22" name="Spinner 26">
          <controlPr defaultSize="0" print="0" autoPict="0">
            <anchor moveWithCells="1" sizeWithCells="1">
              <from>
                <xdr:col>23</xdr:col>
                <xdr:colOff>9525</xdr:colOff>
                <xdr:row>43</xdr:row>
                <xdr:rowOff>9525</xdr:rowOff>
              </from>
              <to>
                <xdr:col>23</xdr:col>
                <xdr:colOff>114300</xdr:colOff>
                <xdr:row>43</xdr:row>
                <xdr:rowOff>180975</xdr:rowOff>
              </to>
            </anchor>
          </controlPr>
        </control>
      </mc:Choice>
    </mc:AlternateContent>
    <mc:AlternateContent xmlns:mc="http://schemas.openxmlformats.org/markup-compatibility/2006">
      <mc:Choice Requires="x14">
        <control shapeId="4123" r:id="rId23" name="Spinner 27">
          <controlPr defaultSize="0" print="0" autoPict="0">
            <anchor moveWithCells="1" sizeWithCells="1">
              <from>
                <xdr:col>23</xdr:col>
                <xdr:colOff>9525</xdr:colOff>
                <xdr:row>46</xdr:row>
                <xdr:rowOff>0</xdr:rowOff>
              </from>
              <to>
                <xdr:col>23</xdr:col>
                <xdr:colOff>114300</xdr:colOff>
                <xdr:row>46</xdr:row>
                <xdr:rowOff>171450</xdr:rowOff>
              </to>
            </anchor>
          </controlPr>
        </control>
      </mc:Choice>
    </mc:AlternateContent>
    <mc:AlternateContent xmlns:mc="http://schemas.openxmlformats.org/markup-compatibility/2006">
      <mc:Choice Requires="x14">
        <control shapeId="4124" r:id="rId24" name="Spinner 28">
          <controlPr defaultSize="0" print="0" autoPict="0">
            <anchor moveWithCells="1" sizeWithCells="1">
              <from>
                <xdr:col>23</xdr:col>
                <xdr:colOff>9525</xdr:colOff>
                <xdr:row>47</xdr:row>
                <xdr:rowOff>0</xdr:rowOff>
              </from>
              <to>
                <xdr:col>23</xdr:col>
                <xdr:colOff>114300</xdr:colOff>
                <xdr:row>47</xdr:row>
                <xdr:rowOff>171450</xdr:rowOff>
              </to>
            </anchor>
          </controlPr>
        </control>
      </mc:Choice>
    </mc:AlternateContent>
    <mc:AlternateContent xmlns:mc="http://schemas.openxmlformats.org/markup-compatibility/2006">
      <mc:Choice Requires="x14">
        <control shapeId="4125" r:id="rId25" name="Spinner 29">
          <controlPr defaultSize="0" print="0" autoPict="0">
            <anchor moveWithCells="1" sizeWithCells="1">
              <from>
                <xdr:col>23</xdr:col>
                <xdr:colOff>9525</xdr:colOff>
                <xdr:row>48</xdr:row>
                <xdr:rowOff>0</xdr:rowOff>
              </from>
              <to>
                <xdr:col>23</xdr:col>
                <xdr:colOff>114300</xdr:colOff>
                <xdr:row>48</xdr:row>
                <xdr:rowOff>171450</xdr:rowOff>
              </to>
            </anchor>
          </controlPr>
        </control>
      </mc:Choice>
    </mc:AlternateContent>
    <mc:AlternateContent xmlns:mc="http://schemas.openxmlformats.org/markup-compatibility/2006">
      <mc:Choice Requires="x14">
        <control shapeId="4126" r:id="rId26" name="Spinner 30">
          <controlPr defaultSize="0" print="0" autoPict="0">
            <anchor moveWithCells="1" sizeWithCells="1">
              <from>
                <xdr:col>23</xdr:col>
                <xdr:colOff>9525</xdr:colOff>
                <xdr:row>49</xdr:row>
                <xdr:rowOff>0</xdr:rowOff>
              </from>
              <to>
                <xdr:col>23</xdr:col>
                <xdr:colOff>114300</xdr:colOff>
                <xdr:row>49</xdr:row>
                <xdr:rowOff>171450</xdr:rowOff>
              </to>
            </anchor>
          </controlPr>
        </control>
      </mc:Choice>
    </mc:AlternateContent>
    <mc:AlternateContent xmlns:mc="http://schemas.openxmlformats.org/markup-compatibility/2006">
      <mc:Choice Requires="x14">
        <control shapeId="4127" r:id="rId27" name="Spinner 31">
          <controlPr defaultSize="0" print="0" autoPict="0">
            <anchor moveWithCells="1" sizeWithCells="1">
              <from>
                <xdr:col>23</xdr:col>
                <xdr:colOff>9525</xdr:colOff>
                <xdr:row>50</xdr:row>
                <xdr:rowOff>0</xdr:rowOff>
              </from>
              <to>
                <xdr:col>23</xdr:col>
                <xdr:colOff>114300</xdr:colOff>
                <xdr:row>50</xdr:row>
                <xdr:rowOff>171450</xdr:rowOff>
              </to>
            </anchor>
          </controlPr>
        </control>
      </mc:Choice>
    </mc:AlternateContent>
    <mc:AlternateContent xmlns:mc="http://schemas.openxmlformats.org/markup-compatibility/2006">
      <mc:Choice Requires="x14">
        <control shapeId="4128" r:id="rId28" name="Check Box 32">
          <controlPr locked="0" defaultSize="0" autoFill="0" autoLine="0" autoPict="0">
            <anchor moveWithCells="1">
              <from>
                <xdr:col>10</xdr:col>
                <xdr:colOff>247650</xdr:colOff>
                <xdr:row>20</xdr:row>
                <xdr:rowOff>9525</xdr:rowOff>
              </from>
              <to>
                <xdr:col>22</xdr:col>
                <xdr:colOff>57150</xdr:colOff>
                <xdr:row>21</xdr:row>
                <xdr:rowOff>0</xdr:rowOff>
              </to>
            </anchor>
          </controlPr>
        </control>
      </mc:Choice>
    </mc:AlternateContent>
    <mc:AlternateContent xmlns:mc="http://schemas.openxmlformats.org/markup-compatibility/2006">
      <mc:Choice Requires="x14">
        <control shapeId="4129" r:id="rId29" name="Spinner 33">
          <controlPr defaultSize="0" print="0" autoPict="0">
            <anchor moveWithCells="1" sizeWithCells="1">
              <from>
                <xdr:col>23</xdr:col>
                <xdr:colOff>9525</xdr:colOff>
                <xdr:row>52</xdr:row>
                <xdr:rowOff>0</xdr:rowOff>
              </from>
              <to>
                <xdr:col>23</xdr:col>
                <xdr:colOff>114300</xdr:colOff>
                <xdr:row>52</xdr:row>
                <xdr:rowOff>171450</xdr:rowOff>
              </to>
            </anchor>
          </controlPr>
        </control>
      </mc:Choice>
    </mc:AlternateContent>
    <mc:AlternateContent xmlns:mc="http://schemas.openxmlformats.org/markup-compatibility/2006">
      <mc:Choice Requires="x14">
        <control shapeId="4130" r:id="rId30" name="Spinner 34">
          <controlPr defaultSize="0" print="0" autoPict="0">
            <anchor moveWithCells="1" sizeWithCells="1">
              <from>
                <xdr:col>23</xdr:col>
                <xdr:colOff>9525</xdr:colOff>
                <xdr:row>53</xdr:row>
                <xdr:rowOff>0</xdr:rowOff>
              </from>
              <to>
                <xdr:col>23</xdr:col>
                <xdr:colOff>114300</xdr:colOff>
                <xdr:row>53</xdr:row>
                <xdr:rowOff>171450</xdr:rowOff>
              </to>
            </anchor>
          </controlPr>
        </control>
      </mc:Choice>
    </mc:AlternateContent>
    <mc:AlternateContent xmlns:mc="http://schemas.openxmlformats.org/markup-compatibility/2006">
      <mc:Choice Requires="x14">
        <control shapeId="4131" r:id="rId31" name="Spinner 35">
          <controlPr defaultSize="0" print="0" autoPict="0">
            <anchor moveWithCells="1" sizeWithCells="1">
              <from>
                <xdr:col>23</xdr:col>
                <xdr:colOff>9525</xdr:colOff>
                <xdr:row>56</xdr:row>
                <xdr:rowOff>0</xdr:rowOff>
              </from>
              <to>
                <xdr:col>23</xdr:col>
                <xdr:colOff>114300</xdr:colOff>
                <xdr:row>56</xdr:row>
                <xdr:rowOff>171450</xdr:rowOff>
              </to>
            </anchor>
          </controlPr>
        </control>
      </mc:Choice>
    </mc:AlternateContent>
    <mc:AlternateContent xmlns:mc="http://schemas.openxmlformats.org/markup-compatibility/2006">
      <mc:Choice Requires="x14">
        <control shapeId="4132" r:id="rId32" name="Spinner 36">
          <controlPr defaultSize="0" print="0" autoPict="0">
            <anchor moveWithCells="1" sizeWithCells="1">
              <from>
                <xdr:col>23</xdr:col>
                <xdr:colOff>9525</xdr:colOff>
                <xdr:row>40</xdr:row>
                <xdr:rowOff>0</xdr:rowOff>
              </from>
              <to>
                <xdr:col>23</xdr:col>
                <xdr:colOff>114300</xdr:colOff>
                <xdr:row>40</xdr:row>
                <xdr:rowOff>171450</xdr:rowOff>
              </to>
            </anchor>
          </controlPr>
        </control>
      </mc:Choice>
    </mc:AlternateContent>
    <mc:AlternateContent xmlns:mc="http://schemas.openxmlformats.org/markup-compatibility/2006">
      <mc:Choice Requires="x14">
        <control shapeId="4141" r:id="rId33" name="Check Box 45">
          <controlPr defaultSize="0" autoFill="0" autoLine="0" autoPict="0">
            <anchor moveWithCells="1">
              <from>
                <xdr:col>10</xdr:col>
                <xdr:colOff>247650</xdr:colOff>
                <xdr:row>14</xdr:row>
                <xdr:rowOff>0</xdr:rowOff>
              </from>
              <to>
                <xdr:col>22</xdr:col>
                <xdr:colOff>104775</xdr:colOff>
                <xdr:row>15</xdr:row>
                <xdr:rowOff>0</xdr:rowOff>
              </to>
            </anchor>
          </controlPr>
        </control>
      </mc:Choice>
    </mc:AlternateContent>
    <mc:AlternateContent xmlns:mc="http://schemas.openxmlformats.org/markup-compatibility/2006">
      <mc:Choice Requires="x14">
        <control shapeId="4145" r:id="rId34" name="Check Box 49">
          <controlPr defaultSize="0" autoFill="0" autoLine="0" autoPict="0">
            <anchor moveWithCells="1">
              <from>
                <xdr:col>10</xdr:col>
                <xdr:colOff>247650</xdr:colOff>
                <xdr:row>18</xdr:row>
                <xdr:rowOff>9525</xdr:rowOff>
              </from>
              <to>
                <xdr:col>22</xdr:col>
                <xdr:colOff>95250</xdr:colOff>
                <xdr:row>19</xdr:row>
                <xdr:rowOff>9525</xdr:rowOff>
              </to>
            </anchor>
          </controlPr>
        </control>
      </mc:Choice>
    </mc:AlternateContent>
    <mc:AlternateContent xmlns:mc="http://schemas.openxmlformats.org/markup-compatibility/2006">
      <mc:Choice Requires="x14">
        <control shapeId="4146" r:id="rId35" name="Spinner 50">
          <controlPr defaultSize="0" print="0" autoPict="0">
            <anchor moveWithCells="1" sizeWithCells="1">
              <from>
                <xdr:col>23</xdr:col>
                <xdr:colOff>9525</xdr:colOff>
                <xdr:row>36</xdr:row>
                <xdr:rowOff>0</xdr:rowOff>
              </from>
              <to>
                <xdr:col>23</xdr:col>
                <xdr:colOff>114300</xdr:colOff>
                <xdr:row>36</xdr:row>
                <xdr:rowOff>171450</xdr:rowOff>
              </to>
            </anchor>
          </controlPr>
        </control>
      </mc:Choice>
    </mc:AlternateContent>
    <mc:AlternateContent xmlns:mc="http://schemas.openxmlformats.org/markup-compatibility/2006">
      <mc:Choice Requires="x14">
        <control shapeId="4148" r:id="rId36" name="Spinner 52">
          <controlPr defaultSize="0" print="0" autoPict="0">
            <anchor moveWithCells="1" sizeWithCells="1">
              <from>
                <xdr:col>23</xdr:col>
                <xdr:colOff>9525</xdr:colOff>
                <xdr:row>35</xdr:row>
                <xdr:rowOff>0</xdr:rowOff>
              </from>
              <to>
                <xdr:col>23</xdr:col>
                <xdr:colOff>114300</xdr:colOff>
                <xdr:row>35</xdr:row>
                <xdr:rowOff>171450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AX65"/>
  <sheetViews>
    <sheetView showGridLines="0" showRowColHeaders="0" topLeftCell="E1" zoomScaleNormal="100" zoomScaleSheetLayoutView="85" workbookViewId="0">
      <selection activeCell="M2" sqref="M2:AP2"/>
    </sheetView>
  </sheetViews>
  <sheetFormatPr defaultRowHeight="15" x14ac:dyDescent="0.25"/>
  <cols>
    <col min="1" max="4" width="8" hidden="1" customWidth="1"/>
    <col min="5" max="5" width="1.42578125" customWidth="1"/>
    <col min="6" max="13" width="4.28515625" customWidth="1"/>
    <col min="14" max="14" width="2.140625" customWidth="1"/>
    <col min="15" max="20" width="4.28515625" customWidth="1"/>
    <col min="21" max="21" width="1.42578125" customWidth="1"/>
    <col min="22" max="22" width="2.85546875" customWidth="1"/>
    <col min="23" max="23" width="4.28515625" customWidth="1"/>
    <col min="24" max="24" width="2.140625" customWidth="1"/>
    <col min="25" max="32" width="4.28515625" customWidth="1"/>
    <col min="33" max="33" width="2.140625" customWidth="1"/>
    <col min="34" max="41" width="4.28515625" customWidth="1"/>
    <col min="42" max="42" width="2.140625" customWidth="1"/>
    <col min="43" max="43" width="28.28515625" customWidth="1"/>
    <col min="44" max="44" width="4.28515625" customWidth="1"/>
    <col min="45" max="45" width="1.42578125" customWidth="1"/>
    <col min="46" max="49" width="9.140625" hidden="1" customWidth="1"/>
    <col min="50" max="50" width="13.140625" hidden="1" customWidth="1"/>
  </cols>
  <sheetData>
    <row r="1" spans="1:50" ht="7.5" customHeight="1" thickBot="1" x14ac:dyDescent="0.3"/>
    <row r="2" spans="1:50" x14ac:dyDescent="0.25">
      <c r="F2" s="239" t="str">
        <f>IF(T9=1,"Aanbestedende dienst:","Aanbesteder:")</f>
        <v>Aanbesteder:</v>
      </c>
      <c r="G2" s="249"/>
      <c r="H2" s="249"/>
      <c r="I2" s="249"/>
      <c r="J2" s="249"/>
      <c r="K2" s="249"/>
      <c r="L2" s="249"/>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146"/>
      <c r="AR2" s="118"/>
    </row>
    <row r="3" spans="1:50" x14ac:dyDescent="0.25">
      <c r="F3" s="242" t="s">
        <v>94</v>
      </c>
      <c r="G3" s="244"/>
      <c r="H3" s="244"/>
      <c r="I3" s="250"/>
      <c r="J3" s="244"/>
      <c r="K3" s="244"/>
      <c r="L3" s="244"/>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147"/>
      <c r="AR3" s="119"/>
    </row>
    <row r="4" spans="1:50" ht="15.75" thickBot="1" x14ac:dyDescent="0.3">
      <c r="F4" s="246" t="s">
        <v>95</v>
      </c>
      <c r="G4" s="247"/>
      <c r="H4" s="247"/>
      <c r="I4" s="251"/>
      <c r="J4" s="247"/>
      <c r="K4" s="247"/>
      <c r="L4" s="24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148"/>
      <c r="AR4" s="121"/>
    </row>
    <row r="5" spans="1:50" ht="9" customHeight="1" x14ac:dyDescent="0.25"/>
    <row r="6" spans="1:50" x14ac:dyDescent="0.25">
      <c r="A6" s="54" t="s">
        <v>1</v>
      </c>
      <c r="B6" s="55"/>
      <c r="C6" s="55"/>
      <c r="D6" s="56"/>
      <c r="E6" s="84"/>
      <c r="F6" s="16" t="s">
        <v>29</v>
      </c>
      <c r="G6" s="184"/>
      <c r="H6" s="184"/>
      <c r="I6" s="184"/>
      <c r="J6" s="184"/>
      <c r="K6" s="184"/>
      <c r="L6" s="184"/>
      <c r="M6" s="184"/>
      <c r="N6" s="4"/>
      <c r="O6" s="4"/>
      <c r="P6" s="4"/>
      <c r="Q6" s="4"/>
      <c r="R6" s="4"/>
      <c r="S6" s="4"/>
      <c r="T6" s="4"/>
      <c r="U6" s="4"/>
      <c r="V6" s="4"/>
      <c r="W6" s="37"/>
      <c r="X6" s="84"/>
      <c r="Y6" s="38" t="s">
        <v>15</v>
      </c>
      <c r="Z6" s="39"/>
      <c r="AA6" s="39"/>
      <c r="AB6" s="39"/>
      <c r="AC6" s="39"/>
      <c r="AD6" s="39"/>
      <c r="AE6" s="39"/>
      <c r="AF6" s="39"/>
      <c r="AG6" s="39"/>
      <c r="AH6" s="39"/>
      <c r="AI6" s="39"/>
      <c r="AJ6" s="39"/>
      <c r="AK6" s="39"/>
      <c r="AL6" s="39"/>
      <c r="AM6" s="39"/>
      <c r="AN6" s="39"/>
      <c r="AO6" s="39"/>
      <c r="AP6" s="39"/>
      <c r="AQ6" s="39"/>
      <c r="AR6" s="40"/>
      <c r="AT6" s="54" t="s">
        <v>119</v>
      </c>
      <c r="AU6" s="54"/>
      <c r="AV6" s="54"/>
      <c r="AW6" s="54"/>
      <c r="AX6" s="54"/>
    </row>
    <row r="7" spans="1:50" x14ac:dyDescent="0.25">
      <c r="A7" s="57" t="s">
        <v>10</v>
      </c>
      <c r="B7" s="58"/>
      <c r="C7" s="58"/>
      <c r="D7" s="59"/>
      <c r="E7" s="84"/>
      <c r="F7" s="14" t="s">
        <v>9</v>
      </c>
      <c r="G7" s="26"/>
      <c r="H7" s="26"/>
      <c r="I7" s="26"/>
      <c r="J7" s="26"/>
      <c r="K7" s="26"/>
      <c r="L7" s="26"/>
      <c r="M7" s="26"/>
      <c r="N7" s="19"/>
      <c r="O7" s="19"/>
      <c r="P7" s="19"/>
      <c r="Q7" s="19"/>
      <c r="R7" s="19"/>
      <c r="S7" s="19"/>
      <c r="T7" s="19"/>
      <c r="U7" s="19"/>
      <c r="V7" s="19"/>
      <c r="W7" s="20"/>
      <c r="X7" s="84"/>
      <c r="Y7" s="30" t="str">
        <f>IF(B9=1,"De stappen en minimumtermijnen worden toegepast zoals vermeld in de Aanbestedingswet 2012, herzien in 2016","De stappen en minimumtermijnen worden toegepast zoals vermeld in hoofdstuk 2 van het ARW")</f>
        <v>De stappen en minimumtermijnen worden toegepast zoals vermeld in de Aanbestedingswet 2012, herzien in 2016</v>
      </c>
      <c r="Z7" s="31"/>
      <c r="AA7" s="31"/>
      <c r="AB7" s="31"/>
      <c r="AC7" s="31"/>
      <c r="AD7" s="31"/>
      <c r="AE7" s="31"/>
      <c r="AF7" s="31"/>
      <c r="AG7" s="31"/>
      <c r="AH7" s="31"/>
      <c r="AI7" s="31"/>
      <c r="AJ7" s="31"/>
      <c r="AK7" s="31"/>
      <c r="AL7" s="31"/>
      <c r="AM7" s="31"/>
      <c r="AN7" s="31"/>
      <c r="AO7" s="31"/>
      <c r="AP7" s="31"/>
      <c r="AQ7" s="31"/>
      <c r="AR7" s="32"/>
      <c r="AT7" s="124" t="s">
        <v>122</v>
      </c>
      <c r="AU7" s="125">
        <f>YEAR(L12)</f>
        <v>2017</v>
      </c>
      <c r="AV7" s="126">
        <f>AU7+1</f>
        <v>2018</v>
      </c>
      <c r="AW7" s="1" t="s">
        <v>137</v>
      </c>
    </row>
    <row r="8" spans="1:50" x14ac:dyDescent="0.25">
      <c r="A8" s="57" t="s">
        <v>56</v>
      </c>
      <c r="B8" s="58"/>
      <c r="C8" s="58"/>
      <c r="D8" s="59"/>
      <c r="E8" s="84"/>
      <c r="F8" s="15"/>
      <c r="G8" s="19"/>
      <c r="H8" s="19"/>
      <c r="I8" s="19"/>
      <c r="J8" s="19"/>
      <c r="K8" s="19"/>
      <c r="L8" s="19"/>
      <c r="M8" s="19"/>
      <c r="N8" s="19"/>
      <c r="O8" s="19"/>
      <c r="P8" s="19"/>
      <c r="Q8" s="19"/>
      <c r="R8" s="19"/>
      <c r="S8" s="19"/>
      <c r="T8" s="19"/>
      <c r="U8" s="19"/>
      <c r="V8" s="19"/>
      <c r="W8" s="20"/>
      <c r="X8" s="84"/>
      <c r="Y8" s="33"/>
      <c r="Z8" s="31"/>
      <c r="AA8" s="31"/>
      <c r="AB8" s="31"/>
      <c r="AC8" s="31"/>
      <c r="AD8" s="31"/>
      <c r="AE8" s="31"/>
      <c r="AF8" s="31"/>
      <c r="AG8" s="31"/>
      <c r="AH8" s="31"/>
      <c r="AI8" s="31"/>
      <c r="AJ8" s="31"/>
      <c r="AK8" s="31"/>
      <c r="AL8" s="31"/>
      <c r="AM8" s="31"/>
      <c r="AN8" s="31"/>
      <c r="AO8" s="31"/>
      <c r="AP8" s="31"/>
      <c r="AQ8" s="31"/>
      <c r="AR8" s="32"/>
      <c r="AT8" s="127" t="s">
        <v>123</v>
      </c>
      <c r="AU8" s="128">
        <f>DATE(AU7,1,1)</f>
        <v>42736</v>
      </c>
      <c r="AV8" s="128">
        <f>DATE(AV7,1,1)</f>
        <v>43101</v>
      </c>
      <c r="AW8" s="1" t="s">
        <v>139</v>
      </c>
      <c r="AX8">
        <v>1</v>
      </c>
    </row>
    <row r="9" spans="1:50" x14ac:dyDescent="0.25">
      <c r="A9" s="57" t="s">
        <v>3</v>
      </c>
      <c r="B9" s="60">
        <v>1</v>
      </c>
      <c r="C9" s="58"/>
      <c r="D9" s="59"/>
      <c r="E9" s="84"/>
      <c r="F9" s="14" t="s">
        <v>2</v>
      </c>
      <c r="G9" s="26"/>
      <c r="H9" s="26"/>
      <c r="I9" s="26"/>
      <c r="J9" s="26"/>
      <c r="K9" s="26"/>
      <c r="L9" s="26"/>
      <c r="M9" s="26"/>
      <c r="N9" s="19"/>
      <c r="O9" s="19"/>
      <c r="P9" s="19"/>
      <c r="Q9" s="19"/>
      <c r="R9" s="19"/>
      <c r="S9" s="19"/>
      <c r="T9" s="19"/>
      <c r="U9" s="19"/>
      <c r="V9" s="19"/>
      <c r="W9" s="20"/>
      <c r="Y9" s="30" t="str">
        <f>IF(B13=1,"De Aanbestedingsplanner rekent vanaf de datum van aankondiging naar het moment van gunning","De Aanbestedingsplanner berekent vanaf het gunningsmoment naar de datum van aankondiging")</f>
        <v>De Aanbestedingsplanner rekent vanaf de datum van aankondiging naar het moment van gunning</v>
      </c>
      <c r="Z9" s="31"/>
      <c r="AA9" s="31"/>
      <c r="AB9" s="31"/>
      <c r="AC9" s="31"/>
      <c r="AD9" s="31"/>
      <c r="AE9" s="31"/>
      <c r="AF9" s="31"/>
      <c r="AG9" s="31"/>
      <c r="AH9" s="31"/>
      <c r="AI9" s="31"/>
      <c r="AJ9" s="31"/>
      <c r="AK9" s="31"/>
      <c r="AL9" s="31"/>
      <c r="AM9" s="31"/>
      <c r="AN9" s="31"/>
      <c r="AO9" s="31"/>
      <c r="AP9" s="31"/>
      <c r="AQ9" s="31"/>
      <c r="AR9" s="32"/>
      <c r="AT9" s="129"/>
      <c r="AU9" s="130"/>
      <c r="AV9" s="130"/>
      <c r="AW9" s="1" t="s">
        <v>138</v>
      </c>
      <c r="AX9">
        <v>17</v>
      </c>
    </row>
    <row r="10" spans="1:50" x14ac:dyDescent="0.25">
      <c r="A10" s="61"/>
      <c r="B10" s="58"/>
      <c r="C10" s="58"/>
      <c r="D10" s="59"/>
      <c r="E10" s="84"/>
      <c r="F10" s="15"/>
      <c r="G10" s="19"/>
      <c r="H10" s="19"/>
      <c r="I10" s="19"/>
      <c r="J10" s="19"/>
      <c r="K10" s="19"/>
      <c r="L10" s="19"/>
      <c r="M10" s="19"/>
      <c r="N10" s="19"/>
      <c r="O10" s="19"/>
      <c r="P10" s="19"/>
      <c r="Q10" s="19"/>
      <c r="R10" s="19"/>
      <c r="S10" s="19"/>
      <c r="T10" s="19"/>
      <c r="U10" s="19"/>
      <c r="V10" s="19"/>
      <c r="W10" s="20"/>
      <c r="X10" s="84"/>
      <c r="Y10" s="33"/>
      <c r="Z10" s="31"/>
      <c r="AA10" s="31"/>
      <c r="AB10" s="31"/>
      <c r="AC10" s="31"/>
      <c r="AD10" s="31"/>
      <c r="AE10" s="31"/>
      <c r="AF10" s="31"/>
      <c r="AG10" s="31"/>
      <c r="AH10" s="31"/>
      <c r="AI10" s="31"/>
      <c r="AJ10" s="31"/>
      <c r="AK10" s="31"/>
      <c r="AL10" s="31"/>
      <c r="AM10" s="31"/>
      <c r="AN10" s="31"/>
      <c r="AO10" s="31"/>
      <c r="AP10" s="31"/>
      <c r="AQ10" s="31"/>
      <c r="AR10" s="32"/>
      <c r="AT10" s="129"/>
      <c r="AU10" s="130"/>
      <c r="AV10" s="130"/>
      <c r="AW10" s="133" t="s">
        <v>138</v>
      </c>
      <c r="AX10">
        <v>18</v>
      </c>
    </row>
    <row r="11" spans="1:50" x14ac:dyDescent="0.25">
      <c r="A11" s="61" t="s">
        <v>33</v>
      </c>
      <c r="B11" s="58"/>
      <c r="C11" s="58"/>
      <c r="D11" s="59"/>
      <c r="E11" s="84"/>
      <c r="F11" s="14" t="s">
        <v>4</v>
      </c>
      <c r="G11" s="26"/>
      <c r="H11" s="26"/>
      <c r="I11" s="26"/>
      <c r="J11" s="26"/>
      <c r="K11" s="26"/>
      <c r="L11" s="26"/>
      <c r="M11" s="26"/>
      <c r="N11" s="19"/>
      <c r="O11" s="19"/>
      <c r="P11" s="19"/>
      <c r="Q11" s="21"/>
      <c r="R11" s="19"/>
      <c r="S11" s="19"/>
      <c r="T11" s="19"/>
      <c r="U11" s="19"/>
      <c r="V11" s="19"/>
      <c r="W11" s="20"/>
      <c r="X11" s="84"/>
      <c r="Y11" s="30" t="s">
        <v>43</v>
      </c>
      <c r="Z11" s="31"/>
      <c r="AA11" s="31"/>
      <c r="AB11" s="31"/>
      <c r="AC11" s="31"/>
      <c r="AD11" s="31"/>
      <c r="AE11" s="31"/>
      <c r="AF11" s="31"/>
      <c r="AG11" s="31"/>
      <c r="AH11" s="31"/>
      <c r="AI11" s="31"/>
      <c r="AJ11" s="31"/>
      <c r="AK11" s="31"/>
      <c r="AL11" s="31"/>
      <c r="AM11" s="31"/>
      <c r="AN11" s="31"/>
      <c r="AO11" s="31"/>
      <c r="AP11" s="31"/>
      <c r="AQ11" s="31"/>
      <c r="AR11" s="32"/>
      <c r="AT11" s="129" t="s">
        <v>124</v>
      </c>
      <c r="AU11" s="130">
        <f>AU12-3</f>
        <v>42839</v>
      </c>
      <c r="AV11" s="130">
        <f>AV12-3</f>
        <v>43189</v>
      </c>
      <c r="AW11" s="133" t="s">
        <v>140</v>
      </c>
      <c r="AX11">
        <v>28</v>
      </c>
    </row>
    <row r="12" spans="1:50" x14ac:dyDescent="0.25">
      <c r="A12" s="57" t="s">
        <v>34</v>
      </c>
      <c r="B12" s="58"/>
      <c r="C12" s="58"/>
      <c r="D12" s="59"/>
      <c r="E12" s="84"/>
      <c r="F12" s="15" t="s">
        <v>5</v>
      </c>
      <c r="G12" s="19"/>
      <c r="H12" s="19"/>
      <c r="I12" s="19"/>
      <c r="J12" s="19"/>
      <c r="K12" s="19"/>
      <c r="L12" s="152" t="s">
        <v>187</v>
      </c>
      <c r="M12" s="153"/>
      <c r="N12" s="154"/>
      <c r="O12" s="19"/>
      <c r="P12" s="19"/>
      <c r="Q12" s="19"/>
      <c r="R12" s="19"/>
      <c r="S12" s="19"/>
      <c r="T12" s="19"/>
      <c r="U12" s="19"/>
      <c r="V12" s="19"/>
      <c r="W12" s="20"/>
      <c r="X12" s="84"/>
      <c r="Y12" s="30" t="str">
        <f>IF(B13=1,"Dit is de datum van de publicatie van de aankondiging","Dit is de datum van gunning")</f>
        <v>Dit is de datum van de publicatie van de aankondiging</v>
      </c>
      <c r="Z12" s="31"/>
      <c r="AA12" s="31"/>
      <c r="AB12" s="31"/>
      <c r="AC12" s="31"/>
      <c r="AD12" s="31"/>
      <c r="AE12" s="31"/>
      <c r="AF12" s="31"/>
      <c r="AG12" s="31"/>
      <c r="AH12" s="31"/>
      <c r="AI12" s="31"/>
      <c r="AJ12" s="31"/>
      <c r="AK12" s="31"/>
      <c r="AL12" s="31"/>
      <c r="AM12" s="31"/>
      <c r="AN12" s="31"/>
      <c r="AO12" s="31"/>
      <c r="AP12" s="31"/>
      <c r="AQ12" s="31"/>
      <c r="AR12" s="32"/>
      <c r="AT12" s="129" t="s">
        <v>125</v>
      </c>
      <c r="AU12" s="130">
        <f>FIXED(("4/"&amp;AU7)/7+MOD(MOD(AU7,19)*19-7,30)*14%,0)*7-5</f>
        <v>42842</v>
      </c>
      <c r="AV12" s="130">
        <f>FIXED(("4/"&amp;AV7)/7+MOD(MOD(AV7,19)*19-7,30)*14%,0)*7-5</f>
        <v>43192</v>
      </c>
      <c r="AW12" s="133" t="s">
        <v>140</v>
      </c>
      <c r="AX12">
        <v>29</v>
      </c>
    </row>
    <row r="13" spans="1:50" x14ac:dyDescent="0.25">
      <c r="A13" s="61" t="s">
        <v>3</v>
      </c>
      <c r="B13" s="60">
        <v>1</v>
      </c>
      <c r="C13" s="58"/>
      <c r="D13" s="59"/>
      <c r="E13" s="84"/>
      <c r="F13" s="15"/>
      <c r="G13" s="19"/>
      <c r="H13" s="19"/>
      <c r="I13" s="19"/>
      <c r="J13" s="19"/>
      <c r="K13" s="19"/>
      <c r="L13" s="19"/>
      <c r="M13" s="19"/>
      <c r="N13" s="19"/>
      <c r="O13" s="19"/>
      <c r="P13" s="19"/>
      <c r="Q13" s="22"/>
      <c r="R13" s="19"/>
      <c r="S13" s="19"/>
      <c r="T13" s="19"/>
      <c r="U13" s="19"/>
      <c r="V13" s="19"/>
      <c r="W13" s="20"/>
      <c r="X13" s="84"/>
      <c r="Y13" s="33"/>
      <c r="Z13" s="31"/>
      <c r="AA13" s="31"/>
      <c r="AB13" s="31"/>
      <c r="AC13" s="31"/>
      <c r="AD13" s="31"/>
      <c r="AE13" s="31"/>
      <c r="AF13" s="31"/>
      <c r="AG13" s="31"/>
      <c r="AH13" s="31"/>
      <c r="AI13" s="31"/>
      <c r="AJ13" s="31"/>
      <c r="AK13" s="31"/>
      <c r="AL13" s="31"/>
      <c r="AM13" s="31"/>
      <c r="AN13" s="31"/>
      <c r="AO13" s="31"/>
      <c r="AP13" s="31"/>
      <c r="AQ13" s="31"/>
      <c r="AR13" s="32"/>
      <c r="AT13" s="129" t="s">
        <v>126</v>
      </c>
      <c r="AU13" s="130">
        <f>DATE(AU7,4,27)</f>
        <v>42852</v>
      </c>
      <c r="AV13" s="130">
        <f>DATE(AV7,4,27)</f>
        <v>43217</v>
      </c>
      <c r="AW13" s="133" t="s">
        <v>140</v>
      </c>
      <c r="AX13">
        <v>30</v>
      </c>
    </row>
    <row r="14" spans="1:50" x14ac:dyDescent="0.25">
      <c r="A14" s="54" t="s">
        <v>39</v>
      </c>
      <c r="B14" s="55"/>
      <c r="C14" s="55"/>
      <c r="D14" s="56"/>
      <c r="E14" s="84"/>
      <c r="F14" s="16" t="s">
        <v>38</v>
      </c>
      <c r="G14" s="184"/>
      <c r="H14" s="184"/>
      <c r="I14" s="184"/>
      <c r="J14" s="184"/>
      <c r="K14" s="184"/>
      <c r="L14" s="184"/>
      <c r="M14" s="184"/>
      <c r="N14" s="23"/>
      <c r="O14" s="23"/>
      <c r="P14" s="23"/>
      <c r="Q14" s="24"/>
      <c r="R14" s="23"/>
      <c r="S14" s="23"/>
      <c r="T14" s="23"/>
      <c r="U14" s="23"/>
      <c r="V14" s="23"/>
      <c r="W14" s="25"/>
      <c r="X14" s="84"/>
      <c r="Y14" s="33"/>
      <c r="Z14" s="31"/>
      <c r="AA14" s="31"/>
      <c r="AB14" s="31"/>
      <c r="AC14" s="31"/>
      <c r="AD14" s="31"/>
      <c r="AE14" s="31"/>
      <c r="AF14" s="31"/>
      <c r="AG14" s="31"/>
      <c r="AH14" s="31"/>
      <c r="AI14" s="31"/>
      <c r="AJ14" s="31"/>
      <c r="AK14" s="31"/>
      <c r="AL14" s="31"/>
      <c r="AM14" s="31"/>
      <c r="AN14" s="31"/>
      <c r="AO14" s="31"/>
      <c r="AP14" s="31"/>
      <c r="AQ14" s="31"/>
      <c r="AR14" s="32"/>
      <c r="AT14" s="129" t="s">
        <v>127</v>
      </c>
      <c r="AU14" s="130">
        <f>DATE(AU7,5,5)</f>
        <v>42860</v>
      </c>
      <c r="AV14" s="130">
        <f>DATE(AV7,5,5)</f>
        <v>43225</v>
      </c>
      <c r="AW14" s="133" t="s">
        <v>140</v>
      </c>
      <c r="AX14">
        <v>31</v>
      </c>
    </row>
    <row r="15" spans="1:50" x14ac:dyDescent="0.25">
      <c r="A15" s="57" t="s">
        <v>30</v>
      </c>
      <c r="B15" s="60" t="b">
        <v>0</v>
      </c>
      <c r="C15" s="58"/>
      <c r="D15" s="59"/>
      <c r="E15" s="84"/>
      <c r="F15" s="17"/>
      <c r="G15" s="185"/>
      <c r="H15" s="185"/>
      <c r="I15" s="185"/>
      <c r="J15" s="185"/>
      <c r="K15" s="185"/>
      <c r="L15" s="185"/>
      <c r="M15" s="185"/>
      <c r="N15" s="19"/>
      <c r="O15" s="19"/>
      <c r="P15" s="19"/>
      <c r="Q15" s="22"/>
      <c r="R15" s="19"/>
      <c r="S15" s="19"/>
      <c r="T15" s="19"/>
      <c r="U15" s="19"/>
      <c r="V15" s="19"/>
      <c r="W15" s="20"/>
      <c r="X15" s="84"/>
      <c r="Y15" s="30" t="str">
        <f>IF(B9=1,"2.74.a: de inschrijvingstermijn mag worden verkort tot 15 dagen","2.20.5: de inschrijvingstermijn mag worden verkort tot 15 dagen")</f>
        <v>2.74.a: de inschrijvingstermijn mag worden verkort tot 15 dagen</v>
      </c>
      <c r="Z15" s="31"/>
      <c r="AA15" s="31"/>
      <c r="AB15" s="31"/>
      <c r="AC15" s="31"/>
      <c r="AD15" s="31"/>
      <c r="AE15" s="31"/>
      <c r="AF15" s="31"/>
      <c r="AG15" s="31"/>
      <c r="AH15" s="31"/>
      <c r="AI15" s="31"/>
      <c r="AJ15" s="31"/>
      <c r="AK15" s="31"/>
      <c r="AL15" s="31"/>
      <c r="AM15" s="31"/>
      <c r="AN15" s="31"/>
      <c r="AO15" s="31"/>
      <c r="AP15" s="31"/>
      <c r="AQ15" s="31"/>
      <c r="AR15" s="32"/>
      <c r="AT15" s="129" t="s">
        <v>128</v>
      </c>
      <c r="AU15" s="130">
        <f>AU12+38</f>
        <v>42880</v>
      </c>
      <c r="AV15" s="130">
        <f>AV12+38</f>
        <v>43230</v>
      </c>
      <c r="AW15" s="133" t="s">
        <v>140</v>
      </c>
      <c r="AX15">
        <v>32</v>
      </c>
    </row>
    <row r="16" spans="1:50" x14ac:dyDescent="0.25">
      <c r="A16" s="57" t="s">
        <v>6</v>
      </c>
      <c r="B16" s="60" t="b">
        <v>0</v>
      </c>
      <c r="C16" s="60">
        <f>IF(B16=FALSE,45,29)</f>
        <v>45</v>
      </c>
      <c r="D16" s="62">
        <f>IF(B16=FALSE,32,32)</f>
        <v>32</v>
      </c>
      <c r="E16" s="84"/>
      <c r="F16" s="18" t="str">
        <f>IF(B$9=1,"Aw paragraaf 2.3.2.1","n.v.t.")</f>
        <v>Aw paragraaf 2.3.2.1</v>
      </c>
      <c r="G16" s="22"/>
      <c r="H16" s="22"/>
      <c r="I16" s="22"/>
      <c r="J16" s="22"/>
      <c r="K16" s="22"/>
      <c r="L16" s="22"/>
      <c r="M16" s="22"/>
      <c r="N16" s="19"/>
      <c r="O16" s="19"/>
      <c r="P16" s="19"/>
      <c r="Q16" s="19"/>
      <c r="R16" s="19"/>
      <c r="S16" s="19"/>
      <c r="T16" s="19"/>
      <c r="U16" s="19"/>
      <c r="V16" s="19"/>
      <c r="W16" s="20"/>
      <c r="X16" s="84"/>
      <c r="Y16" s="30" t="str">
        <f>IF(B9=1,"2.71-5: de inschrijvingstermijn mag worden verkort tot 29 dagen","De nationale procedure in het ARW kent geen vooraankondiging")</f>
        <v>2.71-5: de inschrijvingstermijn mag worden verkort tot 29 dagen</v>
      </c>
      <c r="Z16" s="31"/>
      <c r="AA16" s="31"/>
      <c r="AB16" s="31"/>
      <c r="AC16" s="31"/>
      <c r="AD16" s="31"/>
      <c r="AE16" s="31"/>
      <c r="AF16" s="31"/>
      <c r="AG16" s="31"/>
      <c r="AH16" s="31"/>
      <c r="AI16" s="31"/>
      <c r="AJ16" s="31"/>
      <c r="AK16" s="31"/>
      <c r="AL16" s="31"/>
      <c r="AM16" s="31"/>
      <c r="AN16" s="31"/>
      <c r="AO16" s="31"/>
      <c r="AP16" s="31"/>
      <c r="AQ16" s="31"/>
      <c r="AR16" s="32"/>
      <c r="AT16" s="129" t="s">
        <v>129</v>
      </c>
      <c r="AU16" s="130">
        <f>AU12+39</f>
        <v>42881</v>
      </c>
      <c r="AV16" s="130">
        <f>AV12+39</f>
        <v>43231</v>
      </c>
      <c r="AW16" s="133" t="s">
        <v>140</v>
      </c>
      <c r="AX16">
        <v>33</v>
      </c>
    </row>
    <row r="17" spans="1:50" x14ac:dyDescent="0.25">
      <c r="A17" s="57" t="s">
        <v>16</v>
      </c>
      <c r="B17" s="60" t="b">
        <v>1</v>
      </c>
      <c r="C17" s="60">
        <f>IF(B17=FALSE,5,0)</f>
        <v>0</v>
      </c>
      <c r="D17" s="62">
        <f>IF(B17=FALSE,5,0)</f>
        <v>0</v>
      </c>
      <c r="E17" s="84"/>
      <c r="F17" s="18" t="str">
        <f>IF(B$9=1,"Art. 2.66","ARW 2.11")</f>
        <v>Art. 2.66</v>
      </c>
      <c r="G17" s="22"/>
      <c r="H17" s="22"/>
      <c r="I17" s="22"/>
      <c r="J17" s="22"/>
      <c r="K17" s="22"/>
      <c r="L17" s="22"/>
      <c r="M17" s="22"/>
      <c r="N17" s="26"/>
      <c r="O17" s="19"/>
      <c r="P17" s="19"/>
      <c r="Q17" s="19"/>
      <c r="R17" s="19"/>
      <c r="S17" s="19"/>
      <c r="T17" s="19"/>
      <c r="U17" s="19"/>
      <c r="V17" s="19"/>
      <c r="W17" s="20"/>
      <c r="X17" s="84"/>
      <c r="Y17" s="30" t="str">
        <f>IF(B9=1,"2.72-1: inschrijvingstermijn moet 5 dagen langer als aanbestedingsstukken niet rechtstreeks digitaal beschikbaar zijn vanaf moment aankondiging","2.20.6: inschrijvingstermijn moet 5 dagen langer als aanbestedingsstukken niet rechtstreeks digitaal beschikbaar zijn vanaf moment aankondiging")</f>
        <v>2.72-1: inschrijvingstermijn moet 5 dagen langer als aanbestedingsstukken niet rechtstreeks digitaal beschikbaar zijn vanaf moment aankondiging</v>
      </c>
      <c r="Z17" s="31"/>
      <c r="AA17" s="31"/>
      <c r="AB17" s="31"/>
      <c r="AC17" s="31"/>
      <c r="AD17" s="31"/>
      <c r="AE17" s="31"/>
      <c r="AF17" s="31"/>
      <c r="AG17" s="31"/>
      <c r="AH17" s="31"/>
      <c r="AI17" s="31"/>
      <c r="AJ17" s="31"/>
      <c r="AK17" s="31"/>
      <c r="AL17" s="31"/>
      <c r="AM17" s="31"/>
      <c r="AN17" s="31"/>
      <c r="AO17" s="31"/>
      <c r="AP17" s="31"/>
      <c r="AQ17" s="31"/>
      <c r="AR17" s="32"/>
      <c r="AT17" s="129" t="s">
        <v>130</v>
      </c>
      <c r="AU17" s="130">
        <f>AU12+49</f>
        <v>42891</v>
      </c>
      <c r="AV17" s="130">
        <f>AV12+49</f>
        <v>43241</v>
      </c>
      <c r="AW17" s="133" t="s">
        <v>140</v>
      </c>
      <c r="AX17">
        <v>34</v>
      </c>
    </row>
    <row r="18" spans="1:50" x14ac:dyDescent="0.25">
      <c r="A18" s="57" t="s">
        <v>7</v>
      </c>
      <c r="B18" s="60" t="b">
        <v>1</v>
      </c>
      <c r="C18" s="60">
        <f>IF(B18=FALSE,0,-5)</f>
        <v>-5</v>
      </c>
      <c r="D18" s="62">
        <f>IF(B18=FALSE,0,-5)</f>
        <v>-5</v>
      </c>
      <c r="E18" s="84"/>
      <c r="F18" s="15"/>
      <c r="G18" s="19"/>
      <c r="H18" s="19"/>
      <c r="I18" s="19"/>
      <c r="J18" s="19"/>
      <c r="K18" s="19"/>
      <c r="L18" s="19"/>
      <c r="M18" s="19"/>
      <c r="N18" s="26"/>
      <c r="O18" s="19"/>
      <c r="P18" s="19"/>
      <c r="Q18" s="19"/>
      <c r="R18" s="19"/>
      <c r="S18" s="19"/>
      <c r="T18" s="19"/>
      <c r="U18" s="19"/>
      <c r="V18" s="19"/>
      <c r="W18" s="20"/>
      <c r="X18" s="84"/>
      <c r="Y18" s="30" t="str">
        <f>IF(B9=1,"2.74b: inschrijvingstermijn mag 5 dagen korter als inschrijving elektronisch mag worden ingediend","2.20.2: inschrijvingstermijn mag 5 dagen korter als inschrijving elektronisch mag worden ingediend")</f>
        <v>2.74b: inschrijvingstermijn mag 5 dagen korter als inschrijving elektronisch mag worden ingediend</v>
      </c>
      <c r="Z18" s="31"/>
      <c r="AA18" s="31"/>
      <c r="AB18" s="31"/>
      <c r="AC18" s="31"/>
      <c r="AD18" s="31"/>
      <c r="AE18" s="31"/>
      <c r="AF18" s="31"/>
      <c r="AG18" s="31"/>
      <c r="AH18" s="31"/>
      <c r="AI18" s="31"/>
      <c r="AJ18" s="31"/>
      <c r="AK18" s="31"/>
      <c r="AL18" s="31"/>
      <c r="AM18" s="31"/>
      <c r="AN18" s="31"/>
      <c r="AO18" s="31"/>
      <c r="AP18" s="31"/>
      <c r="AQ18" s="31"/>
      <c r="AR18" s="32"/>
      <c r="AT18" s="129" t="s">
        <v>131</v>
      </c>
      <c r="AU18" s="130">
        <f>DATE(AU7,12,25)</f>
        <v>43094</v>
      </c>
      <c r="AV18" s="130">
        <f>DATE(AV7,12,25)</f>
        <v>43459</v>
      </c>
      <c r="AW18" s="133" t="s">
        <v>140</v>
      </c>
      <c r="AX18">
        <v>35</v>
      </c>
    </row>
    <row r="19" spans="1:50" x14ac:dyDescent="0.25">
      <c r="A19" s="57" t="s">
        <v>8</v>
      </c>
      <c r="B19" s="60" t="b">
        <f>IF(B20=TRUE,TRUE,C19)</f>
        <v>0</v>
      </c>
      <c r="C19" s="60" t="b">
        <v>0</v>
      </c>
      <c r="D19" s="59"/>
      <c r="E19" s="84"/>
      <c r="F19" s="15"/>
      <c r="G19" s="19"/>
      <c r="H19" s="19"/>
      <c r="I19" s="19"/>
      <c r="J19" s="19"/>
      <c r="K19" s="19"/>
      <c r="L19" s="19"/>
      <c r="M19" s="19"/>
      <c r="N19" s="19"/>
      <c r="O19" s="19"/>
      <c r="P19" s="19"/>
      <c r="Q19" s="19"/>
      <c r="R19" s="19"/>
      <c r="S19" s="19"/>
      <c r="T19" s="19"/>
      <c r="U19" s="19"/>
      <c r="V19" s="19"/>
      <c r="W19" s="20"/>
      <c r="X19" s="84"/>
      <c r="Y19" s="33"/>
      <c r="Z19" s="31"/>
      <c r="AA19" s="31"/>
      <c r="AB19" s="31"/>
      <c r="AC19" s="31"/>
      <c r="AD19" s="31"/>
      <c r="AE19" s="31"/>
      <c r="AF19" s="31"/>
      <c r="AG19" s="31"/>
      <c r="AH19" s="31"/>
      <c r="AI19" s="31"/>
      <c r="AJ19" s="31"/>
      <c r="AK19" s="31"/>
      <c r="AL19" s="31"/>
      <c r="AM19" s="31"/>
      <c r="AN19" s="31"/>
      <c r="AO19" s="31"/>
      <c r="AP19" s="31"/>
      <c r="AQ19" s="31"/>
      <c r="AR19" s="32"/>
      <c r="AT19" s="129" t="s">
        <v>132</v>
      </c>
      <c r="AU19" s="130">
        <f>DATE(AU7,12,26)</f>
        <v>43095</v>
      </c>
      <c r="AV19" s="130">
        <f>DATE(AV7,12,26)</f>
        <v>43460</v>
      </c>
      <c r="AW19" s="133" t="s">
        <v>139</v>
      </c>
      <c r="AX19">
        <f>WEEKNUM(AU19,21)</f>
        <v>52</v>
      </c>
    </row>
    <row r="20" spans="1:50" ht="15.75" thickBot="1" x14ac:dyDescent="0.3">
      <c r="A20" s="63" t="s">
        <v>25</v>
      </c>
      <c r="B20" s="64" t="b">
        <f>C20</f>
        <v>0</v>
      </c>
      <c r="C20" s="64" t="b">
        <v>0</v>
      </c>
      <c r="D20" s="65"/>
      <c r="E20" s="84"/>
      <c r="F20" s="27"/>
      <c r="G20" s="28"/>
      <c r="H20" s="28"/>
      <c r="I20" s="28"/>
      <c r="J20" s="28"/>
      <c r="K20" s="28"/>
      <c r="L20" s="28"/>
      <c r="M20" s="28"/>
      <c r="N20" s="28"/>
      <c r="O20" s="28"/>
      <c r="P20" s="28"/>
      <c r="Q20" s="28"/>
      <c r="R20" s="28"/>
      <c r="S20" s="28"/>
      <c r="T20" s="28"/>
      <c r="U20" s="28"/>
      <c r="V20" s="28"/>
      <c r="W20" s="29"/>
      <c r="X20" s="84"/>
      <c r="Y20" s="34" t="str">
        <f>IF(B9=1,"2.73: inschrijvingstermijn moet verlengd worden opdat alle ondernemers kennis kunnen nemen van alle nodige informatie","2.22.5: inschrijvingstermijn moet verlengd worden opdat alle ondernemers kennis kunnen nemen van alle nodige informatie")</f>
        <v>2.73: inschrijvingstermijn moet verlengd worden opdat alle ondernemers kennis kunnen nemen van alle nodige informatie</v>
      </c>
      <c r="Z20" s="35"/>
      <c r="AA20" s="35"/>
      <c r="AB20" s="35"/>
      <c r="AC20" s="35"/>
      <c r="AD20" s="35"/>
      <c r="AE20" s="35"/>
      <c r="AF20" s="35"/>
      <c r="AG20" s="35"/>
      <c r="AH20" s="35"/>
      <c r="AI20" s="35"/>
      <c r="AJ20" s="35"/>
      <c r="AK20" s="35"/>
      <c r="AL20" s="35"/>
      <c r="AM20" s="35"/>
      <c r="AN20" s="35"/>
      <c r="AO20" s="35"/>
      <c r="AP20" s="35"/>
      <c r="AQ20" s="35"/>
      <c r="AR20" s="36"/>
      <c r="AT20" s="131" t="s">
        <v>133</v>
      </c>
      <c r="AU20" s="132">
        <f>DATE(AU7,12,31)</f>
        <v>43100</v>
      </c>
      <c r="AV20" s="132">
        <f>DATE(AV7,12,31)</f>
        <v>43465</v>
      </c>
      <c r="AW20" s="133" t="s">
        <v>139</v>
      </c>
      <c r="AX20">
        <v>53</v>
      </c>
    </row>
    <row r="21" spans="1:50" ht="7.5" customHeight="1" thickBot="1" x14ac:dyDescent="0.3">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5"/>
      <c r="AQ21" s="85"/>
      <c r="AR21" s="85"/>
    </row>
    <row r="22" spans="1:50" ht="21" thickBot="1" x14ac:dyDescent="0.35">
      <c r="A22" s="5" t="s">
        <v>41</v>
      </c>
      <c r="B22" s="6"/>
      <c r="C22" s="6"/>
      <c r="D22" s="6"/>
      <c r="E22" s="84"/>
      <c r="F22" s="79" t="str">
        <f>IF(B$9=1,"Europese Openbare Procedure volgens Aanbestedingswet art. 2.26 (herzien in 2016)","Nationale Openbare procedure volgens ARW 2016 hoofdstuk 2")</f>
        <v>Europese Openbare Procedure volgens Aanbestedingswet art. 2.26 (herzien in 2016)</v>
      </c>
      <c r="G22" s="186"/>
      <c r="H22" s="186"/>
      <c r="I22" s="186"/>
      <c r="J22" s="186"/>
      <c r="K22" s="186"/>
      <c r="L22" s="186"/>
      <c r="M22" s="186"/>
      <c r="N22" s="80"/>
      <c r="O22" s="80"/>
      <c r="P22" s="80"/>
      <c r="Q22" s="80"/>
      <c r="R22" s="80"/>
      <c r="S22" s="80"/>
      <c r="T22" s="80"/>
      <c r="U22" s="80"/>
      <c r="V22" s="80"/>
      <c r="W22" s="81"/>
      <c r="X22" s="80"/>
      <c r="Y22" s="80"/>
      <c r="Z22" s="80"/>
      <c r="AA22" s="80"/>
      <c r="AB22" s="80"/>
      <c r="AC22" s="80"/>
      <c r="AD22" s="80"/>
      <c r="AE22" s="80"/>
      <c r="AF22" s="80"/>
      <c r="AG22" s="80"/>
      <c r="AH22" s="80"/>
      <c r="AI22" s="80"/>
      <c r="AJ22" s="80"/>
      <c r="AK22" s="80"/>
      <c r="AL22" s="80"/>
      <c r="AM22" s="82"/>
      <c r="AN22" s="80"/>
      <c r="AO22" s="80"/>
      <c r="AP22" s="82"/>
      <c r="AQ22" s="82"/>
      <c r="AR22" s="83"/>
    </row>
    <row r="23" spans="1:50" ht="7.5" customHeight="1" x14ac:dyDescent="0.3">
      <c r="A23" s="84"/>
      <c r="B23" s="84"/>
      <c r="C23" s="84"/>
      <c r="D23" s="84"/>
      <c r="E23" s="84"/>
      <c r="F23" s="86"/>
      <c r="G23" s="86"/>
      <c r="H23" s="86"/>
      <c r="I23" s="86"/>
      <c r="J23" s="86"/>
      <c r="K23" s="86"/>
      <c r="L23" s="86"/>
      <c r="M23" s="86"/>
      <c r="N23" s="84"/>
      <c r="O23" s="84"/>
      <c r="P23" s="84"/>
      <c r="Q23" s="84"/>
      <c r="R23" s="84"/>
      <c r="S23" s="84"/>
      <c r="T23" s="84"/>
      <c r="U23" s="84"/>
      <c r="V23" s="84"/>
      <c r="W23" s="87"/>
      <c r="X23" s="84"/>
      <c r="Y23" s="84"/>
      <c r="Z23" s="84"/>
      <c r="AA23" s="84"/>
      <c r="AB23" s="84"/>
      <c r="AC23" s="84"/>
      <c r="AD23" s="84"/>
      <c r="AE23" s="84"/>
      <c r="AF23" s="84"/>
      <c r="AG23" s="84"/>
      <c r="AH23" s="84"/>
      <c r="AI23" s="84"/>
      <c r="AJ23" s="84"/>
      <c r="AK23" s="84"/>
      <c r="AL23" s="84"/>
      <c r="AM23" s="85"/>
      <c r="AN23" s="84"/>
      <c r="AO23" s="84"/>
      <c r="AP23" s="85"/>
      <c r="AQ23" s="85"/>
      <c r="AR23" s="85"/>
    </row>
    <row r="24" spans="1:50" ht="15" customHeight="1" x14ac:dyDescent="0.25">
      <c r="A24" s="66" t="s">
        <v>40</v>
      </c>
      <c r="B24" s="67"/>
      <c r="C24" s="68"/>
      <c r="D24" s="69"/>
      <c r="E24" s="84"/>
      <c r="F24" s="41" t="s">
        <v>35</v>
      </c>
      <c r="G24" s="187"/>
      <c r="H24" s="187"/>
      <c r="I24" s="187"/>
      <c r="J24" s="187"/>
      <c r="K24" s="187"/>
      <c r="L24" s="187"/>
      <c r="M24" s="187"/>
      <c r="N24" s="42"/>
      <c r="O24" s="42"/>
      <c r="P24" s="42"/>
      <c r="Q24" s="42"/>
      <c r="R24" s="42"/>
      <c r="S24" s="42"/>
      <c r="T24" s="42"/>
      <c r="U24" s="42"/>
      <c r="V24" s="42"/>
      <c r="W24" s="43"/>
      <c r="X24" s="84"/>
      <c r="Y24" s="38" t="s">
        <v>36</v>
      </c>
      <c r="Z24" s="39"/>
      <c r="AA24" s="39"/>
      <c r="AB24" s="39"/>
      <c r="AC24" s="39"/>
      <c r="AD24" s="39"/>
      <c r="AE24" s="39"/>
      <c r="AF24" s="39"/>
      <c r="AG24" s="39"/>
      <c r="AH24" s="39"/>
      <c r="AI24" s="39"/>
      <c r="AJ24" s="39"/>
      <c r="AK24" s="39"/>
      <c r="AL24" s="39"/>
      <c r="AM24" s="50"/>
      <c r="AN24" s="39"/>
      <c r="AO24" s="39"/>
      <c r="AP24" s="50"/>
      <c r="AQ24" s="50"/>
      <c r="AR24" s="51"/>
    </row>
    <row r="25" spans="1:50" ht="15.75" thickBot="1" x14ac:dyDescent="0.3">
      <c r="A25" s="70" t="s">
        <v>13</v>
      </c>
      <c r="B25" s="71" t="s">
        <v>14</v>
      </c>
      <c r="C25" s="72"/>
      <c r="D25" s="73"/>
      <c r="E25" s="84"/>
      <c r="F25" s="44" t="str">
        <f>IF(B$9=1,"Aw art.","ARW art.")</f>
        <v>Aw art.</v>
      </c>
      <c r="G25" s="188"/>
      <c r="H25" s="188"/>
      <c r="I25" s="188"/>
      <c r="J25" s="188"/>
      <c r="K25" s="188"/>
      <c r="L25" s="188"/>
      <c r="M25" s="188"/>
      <c r="N25" s="45"/>
      <c r="O25" s="45"/>
      <c r="P25" s="45"/>
      <c r="Q25" s="45"/>
      <c r="R25" s="45"/>
      <c r="S25" s="45"/>
      <c r="T25" s="45"/>
      <c r="U25" s="45"/>
      <c r="V25" s="45"/>
      <c r="W25" s="46"/>
      <c r="X25" s="84"/>
      <c r="Y25" s="30" t="s">
        <v>37</v>
      </c>
      <c r="Z25" s="31"/>
      <c r="AA25" s="31"/>
      <c r="AB25" s="31"/>
      <c r="AC25" s="31"/>
      <c r="AD25" s="31"/>
      <c r="AE25" s="31"/>
      <c r="AF25" s="31"/>
      <c r="AG25" s="31"/>
      <c r="AH25" s="31"/>
      <c r="AI25" s="31"/>
      <c r="AJ25" s="31"/>
      <c r="AK25" s="31"/>
      <c r="AL25" s="31"/>
      <c r="AM25" s="31"/>
      <c r="AN25" s="52"/>
      <c r="AO25" s="31"/>
      <c r="AP25" s="52"/>
      <c r="AQ25" s="52"/>
      <c r="AR25" s="32"/>
      <c r="AT25" s="1" t="s">
        <v>120</v>
      </c>
      <c r="AU25" s="1" t="s">
        <v>121</v>
      </c>
      <c r="AX25" s="1" t="s">
        <v>166</v>
      </c>
    </row>
    <row r="26" spans="1:50" ht="15.75" thickBot="1" x14ac:dyDescent="0.3">
      <c r="A26" s="74"/>
      <c r="B26" s="72"/>
      <c r="C26" s="72"/>
      <c r="D26" s="73"/>
      <c r="E26" s="84"/>
      <c r="F26" s="44" t="str">
        <f>IF(B$9=1,"2.26 a","2.4")</f>
        <v>2.26 a</v>
      </c>
      <c r="G26" s="188"/>
      <c r="H26" s="9" t="s">
        <v>181</v>
      </c>
      <c r="I26" s="10"/>
      <c r="J26" s="10"/>
      <c r="K26" s="10"/>
      <c r="L26" s="10"/>
      <c r="M26" s="10"/>
      <c r="N26" s="10"/>
      <c r="O26" s="10"/>
      <c r="P26" s="10"/>
      <c r="Q26" s="174" t="str">
        <f>IF(B13=1,L12,IF(B9=1,IF(B20=FALSE,Q30-A30,R27-A27),IF(B20=FALSE,Q30-B30,R27-B27)))</f>
        <v>3-4-2017</v>
      </c>
      <c r="R26" s="178"/>
      <c r="S26" s="178"/>
      <c r="T26" s="179"/>
      <c r="U26" s="45"/>
      <c r="V26" s="45"/>
      <c r="W26" s="46"/>
      <c r="X26" s="84"/>
      <c r="Y26" s="53" t="str">
        <f>IF(B15=TRUE,"VERKORT OOK DE DOORLOOPTIJDEN VAN DE BEOORDELING!","")</f>
        <v/>
      </c>
      <c r="Z26" s="31"/>
      <c r="AA26" s="31"/>
      <c r="AB26" s="31"/>
      <c r="AC26" s="31"/>
      <c r="AD26" s="31"/>
      <c r="AE26" s="31"/>
      <c r="AF26" s="31"/>
      <c r="AG26" s="31"/>
      <c r="AH26" s="31"/>
      <c r="AI26" s="31"/>
      <c r="AJ26" s="31"/>
      <c r="AK26" s="31"/>
      <c r="AL26" s="31"/>
      <c r="AM26" s="31"/>
      <c r="AN26" s="52"/>
      <c r="AO26" s="31"/>
      <c r="AP26" s="52"/>
      <c r="AQ26" s="31"/>
      <c r="AR26" s="32"/>
      <c r="AT26" t="str">
        <f>IF(Q26&lt;&gt;"",TEXT(Q26,"dddd"),"")</f>
        <v>maandag</v>
      </c>
      <c r="AU26">
        <f>WEEKNUM(Q26,21)</f>
        <v>14</v>
      </c>
      <c r="AX26" s="183">
        <f>Q26+1</f>
        <v>42829</v>
      </c>
    </row>
    <row r="27" spans="1:50" x14ac:dyDescent="0.25">
      <c r="A27" s="75">
        <v>7</v>
      </c>
      <c r="B27" s="76">
        <v>4</v>
      </c>
      <c r="C27" s="72"/>
      <c r="D27" s="73"/>
      <c r="E27" s="84"/>
      <c r="F27" s="44"/>
      <c r="G27" s="188"/>
      <c r="H27" s="7" t="str">
        <f>IF(B19=TRUE,IF(B20=TRUE,"aanwijzing of schouw essentieel","aanwijzing of schouw"),"")</f>
        <v/>
      </c>
      <c r="I27" s="188"/>
      <c r="J27" s="188"/>
      <c r="K27" s="188"/>
      <c r="L27" s="188"/>
      <c r="M27" s="188"/>
      <c r="N27" s="188"/>
      <c r="O27" s="47"/>
      <c r="P27" s="47"/>
      <c r="Q27" s="47"/>
      <c r="R27" s="170" t="str">
        <f>IF(B19=TRUE,IF(B13=1,IF(B9=1,Q26+A27+W27,Q26+B27+W27),IF(B20=FALSE,IF(B9=1,R28-(A27+W27),R28-(B27+W27)),IF(B9=1,Q30-(A30+W27),Q30-(B30+W27))))," ")</f>
        <v xml:space="preserve"> </v>
      </c>
      <c r="S27" s="170"/>
      <c r="T27" s="170"/>
      <c r="U27" s="45"/>
      <c r="V27" s="45"/>
      <c r="W27" s="104">
        <v>0</v>
      </c>
      <c r="X27" s="84"/>
      <c r="Y27" s="30" t="str">
        <f>IF(B20=TRUE,IF(B9=1,"2.73: inschrijvingstermijn wordt gerekend vanaf schouw opdat alle ondernemers kennis kunnen nemen van alle nodige informatie","2.22.5: inschrijvingstermijn wordt gerekend vanaf schouw opdat alle ondernemers kennis kunnen nemen van alle nodige informatie"),"")</f>
        <v/>
      </c>
      <c r="Z27" s="31"/>
      <c r="AA27" s="31"/>
      <c r="AB27" s="31"/>
      <c r="AC27" s="31"/>
      <c r="AD27" s="31"/>
      <c r="AE27" s="31"/>
      <c r="AF27" s="31"/>
      <c r="AG27" s="31"/>
      <c r="AH27" s="31"/>
      <c r="AI27" s="31"/>
      <c r="AJ27" s="31"/>
      <c r="AK27" s="31"/>
      <c r="AL27" s="31"/>
      <c r="AM27" s="31"/>
      <c r="AN27" s="31"/>
      <c r="AO27" s="31"/>
      <c r="AP27" s="31"/>
      <c r="AQ27" s="31"/>
      <c r="AR27" s="32"/>
      <c r="AT27" t="str">
        <f>IF(R27&lt;&gt;"",TEXT(R27,"dddd"),"")</f>
        <v xml:space="preserve"> </v>
      </c>
      <c r="AU27" t="e">
        <f>WEEKNUM(R27,21)</f>
        <v>#VALUE!</v>
      </c>
    </row>
    <row r="28" spans="1:50" x14ac:dyDescent="0.25">
      <c r="A28" s="75"/>
      <c r="B28" s="76"/>
      <c r="C28" s="72"/>
      <c r="D28" s="73"/>
      <c r="E28" s="84"/>
      <c r="F28" s="44" t="str">
        <f>IF(B$9=1,"2.53-1","2.22")</f>
        <v>2.53-1</v>
      </c>
      <c r="G28" s="188"/>
      <c r="H28" s="7" t="s">
        <v>11</v>
      </c>
      <c r="I28" s="188"/>
      <c r="J28" s="188"/>
      <c r="K28" s="188"/>
      <c r="L28" s="188"/>
      <c r="M28" s="188"/>
      <c r="N28" s="188"/>
      <c r="O28" s="47"/>
      <c r="P28" s="47"/>
      <c r="Q28" s="47"/>
      <c r="R28" s="171">
        <f>R29-W28</f>
        <v>42851</v>
      </c>
      <c r="S28" s="171"/>
      <c r="T28" s="171"/>
      <c r="U28" s="45"/>
      <c r="V28" s="45"/>
      <c r="W28" s="104">
        <v>7</v>
      </c>
      <c r="X28" s="84"/>
      <c r="Y28" s="30" t="str">
        <f>IF(B15=FALSE,"Zeven dagen is doorgaans een redelijke termijn om de antwoorden op de vragen te formuleren, mits de procedure dit toelaat","In urgente situatie de antwoorden snel formuleren, bijvoorbeeld binnen twee dagen")</f>
        <v>Zeven dagen is doorgaans een redelijke termijn om de antwoorden op de vragen te formuleren, mits de procedure dit toelaat</v>
      </c>
      <c r="Z28" s="31"/>
      <c r="AA28" s="31"/>
      <c r="AB28" s="31"/>
      <c r="AC28" s="31"/>
      <c r="AD28" s="31"/>
      <c r="AE28" s="31"/>
      <c r="AF28" s="31"/>
      <c r="AG28" s="31"/>
      <c r="AH28" s="31"/>
      <c r="AI28" s="31"/>
      <c r="AJ28" s="31"/>
      <c r="AK28" s="31"/>
      <c r="AL28" s="31"/>
      <c r="AM28" s="31"/>
      <c r="AN28" s="31"/>
      <c r="AO28" s="31"/>
      <c r="AP28" s="31"/>
      <c r="AQ28" s="31"/>
      <c r="AR28" s="32"/>
      <c r="AT28" t="str">
        <f>IF(R28&lt;&gt;"",TEXT(R28,"dddd"),"")</f>
        <v>woensdag</v>
      </c>
      <c r="AU28">
        <f>WEEKNUM(R28,21)</f>
        <v>17</v>
      </c>
    </row>
    <row r="29" spans="1:50" ht="15.75" thickBot="1" x14ac:dyDescent="0.3">
      <c r="A29" s="75">
        <f>IF(B15=FALSE,10,4)</f>
        <v>10</v>
      </c>
      <c r="B29" s="76">
        <f>IF(B15=FALSE,6,4)</f>
        <v>6</v>
      </c>
      <c r="C29" s="72"/>
      <c r="D29" s="73"/>
      <c r="E29" s="84"/>
      <c r="F29" s="44" t="str">
        <f>IF(B$9=1,"2.53-2","2.22.2")</f>
        <v>2.53-2</v>
      </c>
      <c r="G29" s="188"/>
      <c r="H29" s="7" t="s">
        <v>12</v>
      </c>
      <c r="I29" s="188"/>
      <c r="J29" s="188"/>
      <c r="K29" s="188"/>
      <c r="L29" s="188"/>
      <c r="M29" s="188"/>
      <c r="N29" s="188"/>
      <c r="O29" s="47"/>
      <c r="P29" s="47"/>
      <c r="Q29" s="47"/>
      <c r="R29" s="172">
        <f>IF(B9=1,Q30-(A29+W29),Q30-(B29+W29))</f>
        <v>42858</v>
      </c>
      <c r="S29" s="172"/>
      <c r="T29" s="172"/>
      <c r="U29" s="45"/>
      <c r="V29" s="45"/>
      <c r="W29" s="104">
        <v>0</v>
      </c>
      <c r="X29" s="84"/>
      <c r="Y29" s="30" t="str">
        <f>IF(B15=FALSE,IF(B9=1,"2.54-1: uiterlijk 10 dagen voor uiterste datum inschrijving","2.22.2: uiterlijk 6 dagen voor uiterste datum inschrijving"),IF(B9=1,"2.54-2: bij urgentie uiterlijk 4 dagen voor uiterste datum inschrijving","2.22.2: uiterlijk 4 dagen voor uiterste datum inschrijving"))</f>
        <v>2.54-1: uiterlijk 10 dagen voor uiterste datum inschrijving</v>
      </c>
      <c r="Z29" s="31"/>
      <c r="AA29" s="31"/>
      <c r="AB29" s="31"/>
      <c r="AC29" s="31"/>
      <c r="AD29" s="31"/>
      <c r="AE29" s="31"/>
      <c r="AF29" s="31"/>
      <c r="AG29" s="31"/>
      <c r="AH29" s="31"/>
      <c r="AI29" s="31"/>
      <c r="AJ29" s="31"/>
      <c r="AK29" s="31"/>
      <c r="AL29" s="31"/>
      <c r="AM29" s="31"/>
      <c r="AN29" s="31"/>
      <c r="AO29" s="31"/>
      <c r="AP29" s="31"/>
      <c r="AQ29" s="31"/>
      <c r="AR29" s="32"/>
      <c r="AT29" t="str">
        <f>IF(R29&lt;&gt;"",TEXT(R29,"dddd"),"")</f>
        <v>woensdag</v>
      </c>
      <c r="AU29">
        <f>WEEKNUM(R29,21)</f>
        <v>18</v>
      </c>
    </row>
    <row r="30" spans="1:50" ht="15.75" thickBot="1" x14ac:dyDescent="0.3">
      <c r="A30" s="77">
        <f>IF(B15=TRUE,15,SUM(C16:C18))</f>
        <v>40</v>
      </c>
      <c r="B30" s="78">
        <f>IF(B15=TRUE,15,SUM(D16:D18))</f>
        <v>27</v>
      </c>
      <c r="C30" s="72"/>
      <c r="D30" s="73"/>
      <c r="E30" s="84"/>
      <c r="F30" s="44"/>
      <c r="G30" s="188"/>
      <c r="H30" s="12" t="s">
        <v>23</v>
      </c>
      <c r="I30" s="10"/>
      <c r="J30" s="10"/>
      <c r="K30" s="10"/>
      <c r="L30" s="10"/>
      <c r="M30" s="10"/>
      <c r="N30" s="10"/>
      <c r="O30" s="10"/>
      <c r="P30" s="10"/>
      <c r="Q30" s="174">
        <f>IF(B13=1,IF(B9=1,IF(B20=TRUE,R27+A30+W30,Q26+A30+W30),IF(B20=TRUE,R27+B30+W30,Q26+B30+W30)),R33-W30)</f>
        <v>42868</v>
      </c>
      <c r="R30" s="174"/>
      <c r="S30" s="174"/>
      <c r="T30" s="173"/>
      <c r="U30" s="45"/>
      <c r="V30" s="45"/>
      <c r="W30" s="104">
        <v>0</v>
      </c>
      <c r="X30" s="84"/>
      <c r="Y30" s="30" t="str">
        <f>IF(B15=FALSE,IF(B9=1,"2.71-1: minimumtermijn 45 dagen na uitnodiging, excl. verkortingsmogelijkheid","2.20.2: minimumtermijn 32 dagen na aankondiging,  excl verkortingsmogelijkheid"),IF(B9=1,"2.74.c: minimumtermijn 10 dagen na uitnodiging","2.11.2: minimumtermijn 32 dagen na aankondiging,  excl verkortingsmogelijkheid"))</f>
        <v>2.71-1: minimumtermijn 45 dagen na uitnodiging, excl. verkortingsmogelijkheid</v>
      </c>
      <c r="Z30" s="31"/>
      <c r="AA30" s="31"/>
      <c r="AB30" s="31"/>
      <c r="AC30" s="31"/>
      <c r="AD30" s="31"/>
      <c r="AE30" s="31"/>
      <c r="AF30" s="31"/>
      <c r="AG30" s="31"/>
      <c r="AH30" s="31"/>
      <c r="AI30" s="31"/>
      <c r="AJ30" s="31"/>
      <c r="AK30" s="31"/>
      <c r="AL30" s="31"/>
      <c r="AM30" s="31"/>
      <c r="AN30" s="31"/>
      <c r="AO30" s="31"/>
      <c r="AP30" s="31"/>
      <c r="AQ30" s="31"/>
      <c r="AR30" s="32"/>
      <c r="AT30" t="str">
        <f>IF(Q30&lt;&gt;"",TEXT(Q30,"dddd"),"")</f>
        <v>zaterdag</v>
      </c>
      <c r="AU30">
        <f>WEEKNUM(Q30,21)</f>
        <v>19</v>
      </c>
    </row>
    <row r="31" spans="1:50" ht="7.5" customHeight="1" x14ac:dyDescent="0.25">
      <c r="A31" s="77"/>
      <c r="B31" s="78"/>
      <c r="C31" s="72"/>
      <c r="D31" s="73"/>
      <c r="E31" s="84"/>
      <c r="F31" s="44"/>
      <c r="G31" s="188"/>
      <c r="H31" s="8"/>
      <c r="I31" s="188"/>
      <c r="J31" s="188"/>
      <c r="K31" s="188"/>
      <c r="L31" s="188"/>
      <c r="M31" s="188"/>
      <c r="N31" s="188"/>
      <c r="O31" s="45"/>
      <c r="P31" s="45"/>
      <c r="Q31" s="45"/>
      <c r="R31" s="45"/>
      <c r="S31" s="45"/>
      <c r="T31" s="49"/>
      <c r="U31" s="45"/>
      <c r="V31" s="45"/>
      <c r="W31" s="48"/>
      <c r="X31" s="84"/>
      <c r="Y31" s="30"/>
      <c r="Z31" s="31"/>
      <c r="AA31" s="31"/>
      <c r="AB31" s="31"/>
      <c r="AC31" s="31"/>
      <c r="AD31" s="31"/>
      <c r="AE31" s="31"/>
      <c r="AF31" s="31"/>
      <c r="AG31" s="31"/>
      <c r="AH31" s="31"/>
      <c r="AI31" s="31"/>
      <c r="AJ31" s="31"/>
      <c r="AK31" s="31"/>
      <c r="AL31" s="31"/>
      <c r="AM31" s="31"/>
      <c r="AN31" s="31"/>
      <c r="AO31" s="31"/>
      <c r="AP31" s="31"/>
      <c r="AQ31" s="31"/>
      <c r="AR31" s="32"/>
      <c r="AT31" t="str">
        <f>IF(T31&lt;&gt;"",TEXT(T31,"dddd"),"")</f>
        <v/>
      </c>
    </row>
    <row r="32" spans="1:50" x14ac:dyDescent="0.25">
      <c r="A32" s="75"/>
      <c r="B32" s="76"/>
      <c r="C32" s="72"/>
      <c r="D32" s="73"/>
      <c r="E32" s="84"/>
      <c r="F32" s="44" t="str">
        <f>IF(B$9=1,"","2.31.2")</f>
        <v/>
      </c>
      <c r="G32" s="188"/>
      <c r="H32" s="7" t="str">
        <f>IF(B9=1,"","verstrekken proces-verbaal van opening")</f>
        <v/>
      </c>
      <c r="I32" s="188"/>
      <c r="J32" s="188"/>
      <c r="K32" s="188"/>
      <c r="L32" s="188"/>
      <c r="M32" s="188"/>
      <c r="N32" s="188"/>
      <c r="O32" s="47"/>
      <c r="P32" s="47"/>
      <c r="Q32" s="123"/>
      <c r="R32" s="171" t="str">
        <f>IF(B9=1,"",Q30+2)</f>
        <v/>
      </c>
      <c r="S32" s="171"/>
      <c r="T32" s="171"/>
      <c r="U32" s="45"/>
      <c r="V32" s="45"/>
      <c r="W32" s="104">
        <v>1</v>
      </c>
      <c r="X32" s="84"/>
      <c r="Y32" s="30" t="str">
        <f>IF(B9=1,"","2.31.2: PV van opening uiterlijk 2 werkdagen na opening inschrijvingen verstrekken")</f>
        <v/>
      </c>
      <c r="Z32" s="31"/>
      <c r="AA32" s="31"/>
      <c r="AB32" s="31"/>
      <c r="AC32" s="31"/>
      <c r="AD32" s="31"/>
      <c r="AE32" s="31"/>
      <c r="AF32" s="31"/>
      <c r="AG32" s="31"/>
      <c r="AH32" s="31"/>
      <c r="AI32" s="31"/>
      <c r="AJ32" s="31"/>
      <c r="AK32" s="31"/>
      <c r="AL32" s="31"/>
      <c r="AM32" s="31"/>
      <c r="AN32" s="31"/>
      <c r="AO32" s="31"/>
      <c r="AP32" s="31"/>
      <c r="AQ32" s="31"/>
      <c r="AR32" s="32"/>
      <c r="AT32" t="str">
        <f>IF(R32&lt;&gt;"",TEXT(R32,"dddd"),"")</f>
        <v/>
      </c>
      <c r="AU32" t="e">
        <f>WEEKNUM(R32,21)</f>
        <v>#VALUE!</v>
      </c>
    </row>
    <row r="33" spans="1:50" x14ac:dyDescent="0.25">
      <c r="A33" s="75"/>
      <c r="B33" s="76"/>
      <c r="C33" s="72"/>
      <c r="D33" s="73"/>
      <c r="E33" s="84"/>
      <c r="F33" s="44" t="str">
        <f>IF(B$9=1,"2.26 b","2.13")</f>
        <v>2.26 b</v>
      </c>
      <c r="G33" s="188"/>
      <c r="H33" s="7" t="s">
        <v>17</v>
      </c>
      <c r="I33" s="188"/>
      <c r="J33" s="188"/>
      <c r="K33" s="188"/>
      <c r="L33" s="188"/>
      <c r="M33" s="188"/>
      <c r="N33" s="188"/>
      <c r="O33" s="47"/>
      <c r="P33" s="47"/>
      <c r="Q33" s="123"/>
      <c r="R33" s="171">
        <f>IF(B13=1,Q30+W33,R34-W33)</f>
        <v>42869</v>
      </c>
      <c r="S33" s="171"/>
      <c r="T33" s="171"/>
      <c r="U33" s="45"/>
      <c r="V33" s="45"/>
      <c r="W33" s="104">
        <v>1</v>
      </c>
      <c r="X33" s="84"/>
      <c r="Y33" s="33"/>
      <c r="Z33" s="31"/>
      <c r="AA33" s="31"/>
      <c r="AB33" s="31"/>
      <c r="AC33" s="31"/>
      <c r="AD33" s="31"/>
      <c r="AE33" s="31"/>
      <c r="AF33" s="31"/>
      <c r="AG33" s="31"/>
      <c r="AH33" s="31"/>
      <c r="AI33" s="31"/>
      <c r="AJ33" s="31"/>
      <c r="AK33" s="31"/>
      <c r="AL33" s="31"/>
      <c r="AM33" s="31"/>
      <c r="AN33" s="31"/>
      <c r="AO33" s="31"/>
      <c r="AP33" s="31"/>
      <c r="AQ33" s="31"/>
      <c r="AR33" s="32"/>
      <c r="AT33" t="str">
        <f>IF(R33&lt;&gt;"",TEXT(R33,"dddd"),"")</f>
        <v>zondag</v>
      </c>
      <c r="AU33">
        <f>WEEKNUM(R33,21)</f>
        <v>19</v>
      </c>
    </row>
    <row r="34" spans="1:50" x14ac:dyDescent="0.25">
      <c r="A34" s="75"/>
      <c r="B34" s="76"/>
      <c r="C34" s="72"/>
      <c r="D34" s="73"/>
      <c r="E34" s="84"/>
      <c r="F34" s="44" t="str">
        <f>IF(B$9=1,"2.26 c","2.15 tot en")</f>
        <v>2.26 c</v>
      </c>
      <c r="G34" s="188"/>
      <c r="H34" s="7" t="s">
        <v>19</v>
      </c>
      <c r="I34" s="188"/>
      <c r="J34" s="188"/>
      <c r="K34" s="188"/>
      <c r="L34" s="188"/>
      <c r="M34" s="188"/>
      <c r="N34" s="188"/>
      <c r="O34" s="47"/>
      <c r="P34" s="47"/>
      <c r="Q34" s="123"/>
      <c r="R34" s="171">
        <f>IF(B13=1,R33+W34,R35-W34)</f>
        <v>42872</v>
      </c>
      <c r="S34" s="171"/>
      <c r="T34" s="171"/>
      <c r="U34" s="45"/>
      <c r="V34" s="45"/>
      <c r="W34" s="104">
        <v>3</v>
      </c>
      <c r="X34" s="84"/>
      <c r="Y34" s="33"/>
      <c r="Z34" s="31"/>
      <c r="AA34" s="31"/>
      <c r="AB34" s="31"/>
      <c r="AC34" s="31"/>
      <c r="AD34" s="31"/>
      <c r="AE34" s="31"/>
      <c r="AF34" s="31"/>
      <c r="AG34" s="31"/>
      <c r="AH34" s="31"/>
      <c r="AI34" s="31"/>
      <c r="AJ34" s="31"/>
      <c r="AK34" s="31"/>
      <c r="AL34" s="31"/>
      <c r="AM34" s="31"/>
      <c r="AN34" s="31"/>
      <c r="AO34" s="31"/>
      <c r="AP34" s="31"/>
      <c r="AQ34" s="31"/>
      <c r="AR34" s="32"/>
      <c r="AT34" t="str">
        <f>IF(R34&lt;&gt;"",TEXT(R34,"dddd"),"")</f>
        <v>woensdag</v>
      </c>
      <c r="AU34">
        <f>WEEKNUM(R34,21)</f>
        <v>20</v>
      </c>
    </row>
    <row r="35" spans="1:50" x14ac:dyDescent="0.25">
      <c r="A35" s="75"/>
      <c r="B35" s="76"/>
      <c r="C35" s="72"/>
      <c r="D35" s="73"/>
      <c r="E35" s="84"/>
      <c r="F35" s="44" t="str">
        <f>IF(B$9=1,"2.26 d","met 2.19")</f>
        <v>2.26 d</v>
      </c>
      <c r="G35" s="188"/>
      <c r="H35" s="7" t="s">
        <v>20</v>
      </c>
      <c r="I35" s="188"/>
      <c r="J35" s="188"/>
      <c r="K35" s="188"/>
      <c r="L35" s="188"/>
      <c r="M35" s="188"/>
      <c r="N35" s="188"/>
      <c r="O35" s="47"/>
      <c r="P35" s="47"/>
      <c r="Q35" s="123"/>
      <c r="R35" s="171">
        <f>IF(B13=1,R34+W35,R36-W35)</f>
        <v>42873</v>
      </c>
      <c r="S35" s="171"/>
      <c r="T35" s="171"/>
      <c r="U35" s="45"/>
      <c r="V35" s="45"/>
      <c r="W35" s="104">
        <v>1</v>
      </c>
      <c r="X35" s="84"/>
      <c r="Y35" s="33"/>
      <c r="Z35" s="31"/>
      <c r="AA35" s="31"/>
      <c r="AB35" s="31"/>
      <c r="AC35" s="31"/>
      <c r="AD35" s="31"/>
      <c r="AE35" s="31"/>
      <c r="AF35" s="31"/>
      <c r="AG35" s="31"/>
      <c r="AH35" s="31"/>
      <c r="AI35" s="31"/>
      <c r="AJ35" s="31"/>
      <c r="AK35" s="31"/>
      <c r="AL35" s="31"/>
      <c r="AM35" s="31"/>
      <c r="AN35" s="31"/>
      <c r="AO35" s="31"/>
      <c r="AP35" s="31"/>
      <c r="AQ35" s="31"/>
      <c r="AR35" s="32"/>
      <c r="AT35" t="str">
        <f>IF(R35&lt;&gt;"",TEXT(R35,"dddd"),"")</f>
        <v>donderdag</v>
      </c>
      <c r="AU35">
        <f>WEEKNUM(R35,21)</f>
        <v>20</v>
      </c>
    </row>
    <row r="36" spans="1:50" x14ac:dyDescent="0.25">
      <c r="A36" s="75"/>
      <c r="B36" s="76"/>
      <c r="C36" s="72"/>
      <c r="D36" s="73"/>
      <c r="E36" s="84"/>
      <c r="F36" s="44" t="str">
        <f>IF(B$9=1,"2.26 e","2.36.2")</f>
        <v>2.26 e</v>
      </c>
      <c r="G36" s="188"/>
      <c r="H36" s="7" t="s">
        <v>21</v>
      </c>
      <c r="I36" s="188"/>
      <c r="J36" s="188"/>
      <c r="K36" s="188"/>
      <c r="L36" s="188"/>
      <c r="M36" s="188"/>
      <c r="N36" s="188"/>
      <c r="O36" s="47"/>
      <c r="P36" s="47"/>
      <c r="Q36" s="123"/>
      <c r="R36" s="171">
        <f>IF(B13=1,R35+W36,R37-W36)</f>
        <v>42880</v>
      </c>
      <c r="S36" s="171"/>
      <c r="T36" s="171"/>
      <c r="U36" s="45"/>
      <c r="V36" s="45"/>
      <c r="W36" s="104">
        <v>7</v>
      </c>
      <c r="X36" s="84"/>
      <c r="Y36" s="33"/>
      <c r="Z36" s="31"/>
      <c r="AA36" s="31"/>
      <c r="AB36" s="31"/>
      <c r="AC36" s="31"/>
      <c r="AD36" s="31"/>
      <c r="AE36" s="31"/>
      <c r="AF36" s="31"/>
      <c r="AG36" s="31"/>
      <c r="AH36" s="31"/>
      <c r="AI36" s="31"/>
      <c r="AJ36" s="31"/>
      <c r="AK36" s="31"/>
      <c r="AL36" s="31"/>
      <c r="AM36" s="31"/>
      <c r="AN36" s="31"/>
      <c r="AO36" s="31"/>
      <c r="AP36" s="31"/>
      <c r="AQ36" s="31"/>
      <c r="AR36" s="32"/>
      <c r="AT36" t="str">
        <f>IF(R36&lt;&gt;"",TEXT(R36,"dddd"),"")</f>
        <v>donderdag</v>
      </c>
      <c r="AU36">
        <f>WEEKNUM(R36,21)</f>
        <v>21</v>
      </c>
    </row>
    <row r="37" spans="1:50" x14ac:dyDescent="0.25">
      <c r="A37" s="75"/>
      <c r="B37" s="76"/>
      <c r="C37" s="72"/>
      <c r="D37" s="73"/>
      <c r="E37" s="84"/>
      <c r="F37" s="44"/>
      <c r="G37" s="188"/>
      <c r="H37" s="7" t="s">
        <v>27</v>
      </c>
      <c r="I37" s="188"/>
      <c r="J37" s="188"/>
      <c r="K37" s="188"/>
      <c r="L37" s="188"/>
      <c r="M37" s="188"/>
      <c r="N37" s="188"/>
      <c r="O37" s="47"/>
      <c r="P37" s="47"/>
      <c r="Q37" s="123"/>
      <c r="R37" s="171">
        <f>IF(B13=1,R36+W37,Q39-W37)</f>
        <v>42881</v>
      </c>
      <c r="S37" s="171"/>
      <c r="T37" s="171"/>
      <c r="U37" s="45"/>
      <c r="V37" s="45"/>
      <c r="W37" s="104">
        <v>1</v>
      </c>
      <c r="X37" s="84"/>
      <c r="Y37" s="30" t="s">
        <v>31</v>
      </c>
      <c r="Z37" s="31"/>
      <c r="AA37" s="31"/>
      <c r="AB37" s="31"/>
      <c r="AC37" s="31"/>
      <c r="AD37" s="31"/>
      <c r="AE37" s="31"/>
      <c r="AF37" s="31"/>
      <c r="AG37" s="31"/>
      <c r="AH37" s="31"/>
      <c r="AI37" s="31"/>
      <c r="AJ37" s="31"/>
      <c r="AK37" s="31"/>
      <c r="AL37" s="31"/>
      <c r="AM37" s="31"/>
      <c r="AN37" s="31"/>
      <c r="AO37" s="31"/>
      <c r="AP37" s="31"/>
      <c r="AQ37" s="31"/>
      <c r="AR37" s="32"/>
      <c r="AT37" t="str">
        <f>IF(R37&lt;&gt;"",TEXT(R37,"dddd"),"")</f>
        <v>vrijdag</v>
      </c>
      <c r="AU37">
        <f>WEEKNUM(R37,21)</f>
        <v>21</v>
      </c>
    </row>
    <row r="38" spans="1:50" ht="15.75" thickBot="1" x14ac:dyDescent="0.3">
      <c r="A38" s="75"/>
      <c r="B38" s="76"/>
      <c r="C38" s="72"/>
      <c r="D38" s="73"/>
      <c r="E38" s="84"/>
      <c r="F38" s="44" t="str">
        <f>IF(B$9=1,"2.26 f","")</f>
        <v>2.26 f</v>
      </c>
      <c r="G38" s="188"/>
      <c r="H38" s="7" t="str">
        <f>IF(B9=1,"opstellen proces-verbaal van opdrachtverlening","")</f>
        <v>opstellen proces-verbaal van opdrachtverlening</v>
      </c>
      <c r="I38" s="188"/>
      <c r="J38" s="188"/>
      <c r="K38" s="188"/>
      <c r="L38" s="188"/>
      <c r="M38" s="188"/>
      <c r="N38" s="188"/>
      <c r="O38" s="47"/>
      <c r="P38" s="47"/>
      <c r="Q38" s="123"/>
      <c r="R38" s="172">
        <f>IF(B9=1,IF(B13=1,R37+W38,Q39-W38)," ")</f>
        <v>42882</v>
      </c>
      <c r="S38" s="172"/>
      <c r="T38" s="172"/>
      <c r="U38" s="45"/>
      <c r="V38" s="45"/>
      <c r="W38" s="104">
        <v>1</v>
      </c>
      <c r="X38" s="84"/>
      <c r="Y38" s="33"/>
      <c r="Z38" s="31"/>
      <c r="AA38" s="31"/>
      <c r="AB38" s="31"/>
      <c r="AC38" s="31"/>
      <c r="AD38" s="31"/>
      <c r="AE38" s="31"/>
      <c r="AF38" s="31"/>
      <c r="AG38" s="31"/>
      <c r="AH38" s="31"/>
      <c r="AI38" s="31"/>
      <c r="AJ38" s="31"/>
      <c r="AK38" s="31"/>
      <c r="AL38" s="31"/>
      <c r="AM38" s="31"/>
      <c r="AN38" s="31"/>
      <c r="AO38" s="31"/>
      <c r="AP38" s="31"/>
      <c r="AQ38" s="31"/>
      <c r="AR38" s="32"/>
      <c r="AT38" t="str">
        <f>IF(R38&lt;&gt;"",TEXT(R38,"dddd"),"")</f>
        <v>zaterdag</v>
      </c>
      <c r="AU38">
        <f>WEEKNUM(R38,21)</f>
        <v>21</v>
      </c>
    </row>
    <row r="39" spans="1:50" ht="15.75" thickBot="1" x14ac:dyDescent="0.3">
      <c r="A39" s="75"/>
      <c r="B39" s="76"/>
      <c r="C39" s="72"/>
      <c r="D39" s="73"/>
      <c r="E39" s="84"/>
      <c r="F39" s="44" t="str">
        <f>IF(B$9=1,"2.26 g","2.36.5")</f>
        <v>2.26 g</v>
      </c>
      <c r="G39" s="188"/>
      <c r="H39" s="13" t="s">
        <v>46</v>
      </c>
      <c r="I39" s="10"/>
      <c r="J39" s="10"/>
      <c r="K39" s="10"/>
      <c r="L39" s="10"/>
      <c r="M39" s="10"/>
      <c r="N39" s="10"/>
      <c r="O39" s="10"/>
      <c r="P39" s="10"/>
      <c r="Q39" s="174">
        <f>IF(B13=1,IF(B9=1,R38+W39,R37+W39),IF(B9=1,R41-(A41+W39),R41-(B41+W39)))</f>
        <v>42882</v>
      </c>
      <c r="R39" s="174"/>
      <c r="S39" s="174"/>
      <c r="T39" s="173"/>
      <c r="U39" s="45"/>
      <c r="V39" s="45"/>
      <c r="W39" s="104">
        <v>0</v>
      </c>
      <c r="X39" s="84"/>
      <c r="Y39" s="33"/>
      <c r="Z39" s="31"/>
      <c r="AA39" s="31"/>
      <c r="AB39" s="31"/>
      <c r="AC39" s="31"/>
      <c r="AD39" s="31"/>
      <c r="AE39" s="31"/>
      <c r="AF39" s="31"/>
      <c r="AG39" s="31"/>
      <c r="AH39" s="31"/>
      <c r="AI39" s="31"/>
      <c r="AJ39" s="31"/>
      <c r="AK39" s="31"/>
      <c r="AL39" s="31"/>
      <c r="AM39" s="31"/>
      <c r="AN39" s="31"/>
      <c r="AO39" s="31"/>
      <c r="AP39" s="31"/>
      <c r="AQ39" s="31"/>
      <c r="AR39" s="32"/>
      <c r="AT39" t="str">
        <f>IF(Q39&lt;&gt;"",TEXT(Q39,"dddd"),"")</f>
        <v>zaterdag</v>
      </c>
      <c r="AU39">
        <f>WEEKNUM(Q39,21)</f>
        <v>21</v>
      </c>
    </row>
    <row r="40" spans="1:50" ht="7.5" customHeight="1" x14ac:dyDescent="0.25">
      <c r="A40" s="75"/>
      <c r="B40" s="76"/>
      <c r="C40" s="72"/>
      <c r="D40" s="73"/>
      <c r="E40" s="84"/>
      <c r="F40" s="44"/>
      <c r="G40" s="188"/>
      <c r="H40" s="3"/>
      <c r="I40" s="188"/>
      <c r="J40" s="188"/>
      <c r="K40" s="188"/>
      <c r="L40" s="188"/>
      <c r="M40" s="188"/>
      <c r="N40" s="188"/>
      <c r="O40" s="45"/>
      <c r="P40" s="45"/>
      <c r="Q40" s="45"/>
      <c r="R40" s="45"/>
      <c r="S40" s="45"/>
      <c r="T40" s="49"/>
      <c r="U40" s="45"/>
      <c r="V40" s="45"/>
      <c r="W40" s="48"/>
      <c r="X40" s="84"/>
      <c r="Y40" s="33"/>
      <c r="Z40" s="31"/>
      <c r="AA40" s="31"/>
      <c r="AB40" s="31"/>
      <c r="AC40" s="31"/>
      <c r="AD40" s="31"/>
      <c r="AE40" s="31"/>
      <c r="AF40" s="31"/>
      <c r="AG40" s="31"/>
      <c r="AH40" s="31"/>
      <c r="AI40" s="31"/>
      <c r="AJ40" s="31"/>
      <c r="AK40" s="31"/>
      <c r="AL40" s="31"/>
      <c r="AM40" s="31"/>
      <c r="AN40" s="31"/>
      <c r="AO40" s="31"/>
      <c r="AP40" s="31"/>
      <c r="AQ40" s="31"/>
      <c r="AR40" s="32"/>
      <c r="AT40" t="str">
        <f>IF(T40&lt;&gt;"",TEXT(T40,"dddd"),"")</f>
        <v/>
      </c>
    </row>
    <row r="41" spans="1:50" ht="15.75" thickBot="1" x14ac:dyDescent="0.3">
      <c r="A41" s="75">
        <v>20</v>
      </c>
      <c r="B41" s="76">
        <v>20</v>
      </c>
      <c r="C41" s="72"/>
      <c r="D41" s="73"/>
      <c r="E41" s="84"/>
      <c r="F41" s="44" t="str">
        <f>IF(B$9=1,"2.127","2.37.2")</f>
        <v>2.127</v>
      </c>
      <c r="G41" s="188"/>
      <c r="H41" s="7" t="s">
        <v>32</v>
      </c>
      <c r="I41" s="188"/>
      <c r="J41" s="188"/>
      <c r="K41" s="188"/>
      <c r="L41" s="188"/>
      <c r="M41" s="188"/>
      <c r="N41" s="188"/>
      <c r="O41" s="47"/>
      <c r="P41" s="47"/>
      <c r="Q41" s="47"/>
      <c r="R41" s="172">
        <f>IF(B13=1,IF(B9=1,Q39+A41+W41,Q39+B41+W41),IF(B9=1,Q42-(A42+W41),Q42-(B42+W41)))</f>
        <v>42902</v>
      </c>
      <c r="S41" s="172"/>
      <c r="T41" s="172"/>
      <c r="U41" s="45"/>
      <c r="V41" s="45"/>
      <c r="W41" s="104">
        <v>0</v>
      </c>
      <c r="X41" s="84"/>
      <c r="Y41" s="30" t="str">
        <f>IF(B9=1,"2.127-3: de opschortende termijn bedraagt ten minste 20 kalenderdagen","2.37.3: opschortende termijn bedraagt ten minste 20 dagen, tenzij slechts een inschrijving is ontvangen")</f>
        <v>2.127-3: de opschortende termijn bedraagt ten minste 20 kalenderdagen</v>
      </c>
      <c r="Z41" s="31"/>
      <c r="AA41" s="31"/>
      <c r="AB41" s="31"/>
      <c r="AC41" s="31"/>
      <c r="AD41" s="31"/>
      <c r="AE41" s="31"/>
      <c r="AF41" s="31"/>
      <c r="AG41" s="31"/>
      <c r="AH41" s="31"/>
      <c r="AI41" s="31"/>
      <c r="AJ41" s="31"/>
      <c r="AK41" s="31"/>
      <c r="AL41" s="31"/>
      <c r="AM41" s="31"/>
      <c r="AN41" s="31"/>
      <c r="AO41" s="31"/>
      <c r="AP41" s="31"/>
      <c r="AQ41" s="31"/>
      <c r="AR41" s="32"/>
      <c r="AT41" t="str">
        <f>IF(R41&lt;&gt;"",TEXT(R41,"dddd"),"")</f>
        <v>vrijdag</v>
      </c>
      <c r="AU41">
        <f>WEEKNUM(R41,21)</f>
        <v>24</v>
      </c>
      <c r="AX41" s="1" t="s">
        <v>166</v>
      </c>
    </row>
    <row r="42" spans="1:50" ht="15.75" thickBot="1" x14ac:dyDescent="0.3">
      <c r="A42" s="75">
        <v>1</v>
      </c>
      <c r="B42" s="76">
        <v>1</v>
      </c>
      <c r="C42" s="72"/>
      <c r="D42" s="73"/>
      <c r="E42" s="84"/>
      <c r="F42" s="44"/>
      <c r="G42" s="188"/>
      <c r="H42" s="12" t="s">
        <v>0</v>
      </c>
      <c r="I42" s="10"/>
      <c r="J42" s="10"/>
      <c r="K42" s="10"/>
      <c r="L42" s="10"/>
      <c r="M42" s="10"/>
      <c r="N42" s="10"/>
      <c r="O42" s="10"/>
      <c r="P42" s="10"/>
      <c r="Q42" s="174">
        <f>IF(B13=1,IF(B9=1,R41+A42+W42,R41+B42+W42),L12)</f>
        <v>42903</v>
      </c>
      <c r="R42" s="174"/>
      <c r="S42" s="174"/>
      <c r="T42" s="173"/>
      <c r="U42" s="45"/>
      <c r="V42" s="45"/>
      <c r="W42" s="104">
        <v>0</v>
      </c>
      <c r="X42" s="84"/>
      <c r="Y42" s="33"/>
      <c r="Z42" s="31"/>
      <c r="AA42" s="31"/>
      <c r="AB42" s="31"/>
      <c r="AC42" s="31"/>
      <c r="AD42" s="31"/>
      <c r="AE42" s="31"/>
      <c r="AF42" s="31"/>
      <c r="AG42" s="31"/>
      <c r="AH42" s="31"/>
      <c r="AI42" s="31"/>
      <c r="AJ42" s="31"/>
      <c r="AK42" s="31"/>
      <c r="AL42" s="31"/>
      <c r="AM42" s="31"/>
      <c r="AN42" s="31"/>
      <c r="AO42" s="31"/>
      <c r="AP42" s="31"/>
      <c r="AQ42" s="31"/>
      <c r="AR42" s="32"/>
      <c r="AT42" t="str">
        <f>IF(Q42&lt;&gt;"",TEXT(Q42,"dddd"),"")</f>
        <v>zaterdag</v>
      </c>
      <c r="AU42">
        <f>WEEKNUM(Q42,21)</f>
        <v>24</v>
      </c>
      <c r="AX42" s="183">
        <f>Q42-1</f>
        <v>42902</v>
      </c>
    </row>
    <row r="43" spans="1:50" ht="7.5" customHeight="1" x14ac:dyDescent="0.25">
      <c r="A43" s="75"/>
      <c r="B43" s="76"/>
      <c r="C43" s="72"/>
      <c r="D43" s="73"/>
      <c r="E43" s="84"/>
      <c r="F43" s="44"/>
      <c r="G43" s="188"/>
      <c r="H43" s="8"/>
      <c r="I43" s="188"/>
      <c r="J43" s="188"/>
      <c r="K43" s="188"/>
      <c r="L43" s="188"/>
      <c r="M43" s="188"/>
      <c r="N43" s="188"/>
      <c r="O43" s="45"/>
      <c r="P43" s="45"/>
      <c r="Q43" s="45"/>
      <c r="R43" s="45"/>
      <c r="S43" s="45"/>
      <c r="T43" s="49"/>
      <c r="U43" s="45"/>
      <c r="V43" s="45"/>
      <c r="W43" s="48"/>
      <c r="X43" s="84"/>
      <c r="Y43" s="33"/>
      <c r="Z43" s="31"/>
      <c r="AA43" s="31"/>
      <c r="AB43" s="31"/>
      <c r="AC43" s="31"/>
      <c r="AD43" s="31"/>
      <c r="AE43" s="31"/>
      <c r="AF43" s="31"/>
      <c r="AG43" s="31"/>
      <c r="AH43" s="31"/>
      <c r="AI43" s="31"/>
      <c r="AJ43" s="31"/>
      <c r="AK43" s="31"/>
      <c r="AL43" s="31"/>
      <c r="AM43" s="31"/>
      <c r="AN43" s="31"/>
      <c r="AO43" s="31"/>
      <c r="AP43" s="31"/>
      <c r="AQ43" s="31"/>
      <c r="AR43" s="32"/>
      <c r="AT43" t="str">
        <f>IF(T43&lt;&gt;"",TEXT(T43,"dddd"),"")</f>
        <v/>
      </c>
    </row>
    <row r="44" spans="1:50" x14ac:dyDescent="0.25">
      <c r="A44" s="75">
        <v>30</v>
      </c>
      <c r="B44" s="76">
        <v>48</v>
      </c>
      <c r="C44" s="72"/>
      <c r="D44" s="73"/>
      <c r="E44" s="84"/>
      <c r="F44" s="44" t="str">
        <f>IF(B$9=1,"2.26 i","2.38")</f>
        <v>2.26 i</v>
      </c>
      <c r="G44" s="188"/>
      <c r="H44" s="7" t="s">
        <v>26</v>
      </c>
      <c r="I44" s="188"/>
      <c r="J44" s="188"/>
      <c r="K44" s="188"/>
      <c r="L44" s="188"/>
      <c r="M44" s="188"/>
      <c r="N44" s="188"/>
      <c r="O44" s="47"/>
      <c r="P44" s="47"/>
      <c r="Q44" s="123"/>
      <c r="R44" s="171">
        <f>IF(B9=1,Q42+A44,Q42+B44)</f>
        <v>42933</v>
      </c>
      <c r="S44" s="171"/>
      <c r="T44" s="171"/>
      <c r="U44" s="45"/>
      <c r="V44" s="45"/>
      <c r="W44" s="48"/>
      <c r="X44" s="84"/>
      <c r="Y44" s="30" t="str">
        <f>IF(B9=1,"2.134-1: aankondiging gegunde opdracht binnen 30 dagen na gunning","2.38.2: aankondiging gegunde opdracht uiterlijk 48 dagen na gunning")</f>
        <v>2.134-1: aankondiging gegunde opdracht binnen 30 dagen na gunning</v>
      </c>
      <c r="Z44" s="31"/>
      <c r="AA44" s="31"/>
      <c r="AB44" s="31"/>
      <c r="AC44" s="31"/>
      <c r="AD44" s="31"/>
      <c r="AE44" s="31"/>
      <c r="AF44" s="31"/>
      <c r="AG44" s="31"/>
      <c r="AH44" s="31"/>
      <c r="AI44" s="31"/>
      <c r="AJ44" s="31"/>
      <c r="AK44" s="31"/>
      <c r="AL44" s="31"/>
      <c r="AM44" s="31"/>
      <c r="AN44" s="31"/>
      <c r="AO44" s="31"/>
      <c r="AP44" s="31"/>
      <c r="AQ44" s="31"/>
      <c r="AR44" s="32"/>
      <c r="AT44" t="str">
        <f>IF(R44&lt;&gt;"",TEXT(R44,"dddd"),"")</f>
        <v>maandag</v>
      </c>
      <c r="AU44">
        <f>WEEKNUM(R44,21)</f>
        <v>29</v>
      </c>
    </row>
    <row r="45" spans="1:50" x14ac:dyDescent="0.25">
      <c r="A45" s="75">
        <v>50</v>
      </c>
      <c r="B45" s="76">
        <v>50</v>
      </c>
      <c r="C45" s="72"/>
      <c r="D45" s="73"/>
      <c r="E45" s="84"/>
      <c r="F45" s="44"/>
      <c r="G45" s="188"/>
      <c r="H45" s="7" t="s">
        <v>24</v>
      </c>
      <c r="I45" s="188"/>
      <c r="J45" s="188"/>
      <c r="K45" s="188"/>
      <c r="L45" s="188"/>
      <c r="M45" s="188"/>
      <c r="N45" s="188"/>
      <c r="O45" s="47"/>
      <c r="P45" s="47"/>
      <c r="Q45" s="123"/>
      <c r="R45" s="171">
        <f>IF(B9=1,Q30+A45+W45,Q30+B45+W45)</f>
        <v>42918</v>
      </c>
      <c r="S45" s="171"/>
      <c r="T45" s="171"/>
      <c r="U45" s="45"/>
      <c r="V45" s="45"/>
      <c r="W45" s="104">
        <v>0</v>
      </c>
      <c r="X45" s="84"/>
      <c r="Y45" s="30" t="str">
        <f>IF(B9=1,"De Aanbestedingswet schrijft geen gestanddoeningstermijn voor, uitgangspunt in deze planner is 50 dagen.","2.30.1: gestanddoening 50 dagen of 8 dagen na vonnis kort geding")</f>
        <v>De Aanbestedingswet schrijft geen gestanddoeningstermijn voor, uitgangspunt in deze planner is 50 dagen.</v>
      </c>
      <c r="Z45" s="31"/>
      <c r="AA45" s="31"/>
      <c r="AB45" s="31"/>
      <c r="AC45" s="31"/>
      <c r="AD45" s="31"/>
      <c r="AE45" s="31"/>
      <c r="AF45" s="31"/>
      <c r="AG45" s="31"/>
      <c r="AH45" s="31"/>
      <c r="AI45" s="31"/>
      <c r="AJ45" s="31"/>
      <c r="AK45" s="31"/>
      <c r="AL45" s="31"/>
      <c r="AM45" s="31"/>
      <c r="AN45" s="31"/>
      <c r="AO45" s="31"/>
      <c r="AP45" s="31"/>
      <c r="AQ45" s="31"/>
      <c r="AR45" s="32"/>
      <c r="AT45" t="str">
        <f>IF(R45&lt;&gt;"",TEXT(R45,"dddd"),"")</f>
        <v>zondag</v>
      </c>
      <c r="AU45">
        <f>WEEKNUM(R45,21)</f>
        <v>26</v>
      </c>
    </row>
    <row r="46" spans="1:50" x14ac:dyDescent="0.25">
      <c r="A46" s="75">
        <f>3*365</f>
        <v>1095</v>
      </c>
      <c r="B46" s="76">
        <f>3*365</f>
        <v>1095</v>
      </c>
      <c r="C46" s="72"/>
      <c r="D46" s="73"/>
      <c r="E46" s="84"/>
      <c r="F46" s="44" t="str">
        <f>IF(B$9=1,"2.56","1.4.3")</f>
        <v>2.56</v>
      </c>
      <c r="G46" s="188"/>
      <c r="H46" s="7" t="str">
        <f>IF(B9=1,"bewaartermijn documentatie aanbesteding","")</f>
        <v>bewaartermijn documentatie aanbesteding</v>
      </c>
      <c r="I46" s="188"/>
      <c r="J46" s="188"/>
      <c r="K46" s="188"/>
      <c r="L46" s="188"/>
      <c r="M46" s="188"/>
      <c r="N46" s="188"/>
      <c r="O46" s="47"/>
      <c r="P46" s="47"/>
      <c r="Q46" s="123"/>
      <c r="R46" s="171">
        <f>IF(B9=1,Q42+A46,Q42+B46)</f>
        <v>43998</v>
      </c>
      <c r="S46" s="171"/>
      <c r="T46" s="171"/>
      <c r="U46" s="45"/>
      <c r="V46" s="45"/>
      <c r="W46" s="46"/>
      <c r="X46" s="84"/>
      <c r="Y46" s="30" t="str">
        <f>IF(B9=1,"2.56-2: documentatie wordt ten minste drie jaar bewaard na datum gunning","1.4.3: documentatie wordt ten minste drie jaar bewaard na beeindiging procedure")</f>
        <v>2.56-2: documentatie wordt ten minste drie jaar bewaard na datum gunning</v>
      </c>
      <c r="Z46" s="31"/>
      <c r="AA46" s="31"/>
      <c r="AB46" s="31"/>
      <c r="AC46" s="31"/>
      <c r="AD46" s="31"/>
      <c r="AE46" s="31"/>
      <c r="AF46" s="31"/>
      <c r="AG46" s="31"/>
      <c r="AH46" s="31"/>
      <c r="AI46" s="31"/>
      <c r="AJ46" s="31"/>
      <c r="AK46" s="31"/>
      <c r="AL46" s="31"/>
      <c r="AM46" s="31"/>
      <c r="AN46" s="31"/>
      <c r="AO46" s="31"/>
      <c r="AP46" s="31"/>
      <c r="AQ46" s="31"/>
      <c r="AR46" s="32"/>
      <c r="AT46" t="str">
        <f>IF(R46&lt;&gt;"",TEXT(R46,"dddd"),"")</f>
        <v>dinsdag</v>
      </c>
      <c r="AU46">
        <f>WEEKNUM(R46,21)</f>
        <v>25</v>
      </c>
    </row>
    <row r="47" spans="1:50" ht="14.25" customHeight="1" thickBot="1" x14ac:dyDescent="0.3">
      <c r="A47" s="189"/>
      <c r="B47" s="190"/>
      <c r="C47" s="190"/>
      <c r="D47" s="191"/>
      <c r="E47" s="84"/>
      <c r="F47" s="192"/>
      <c r="G47" s="195"/>
      <c r="H47" s="195"/>
      <c r="I47" s="195"/>
      <c r="J47" s="195"/>
      <c r="K47" s="195"/>
      <c r="L47" s="195"/>
      <c r="M47" s="195"/>
      <c r="N47" s="193"/>
      <c r="O47" s="193"/>
      <c r="P47" s="193"/>
      <c r="Q47" s="193"/>
      <c r="R47" s="193"/>
      <c r="S47" s="193"/>
      <c r="T47" s="193"/>
      <c r="U47" s="193"/>
      <c r="V47" s="193"/>
      <c r="W47" s="194"/>
      <c r="X47" s="84"/>
      <c r="Y47" s="136" t="s">
        <v>144</v>
      </c>
      <c r="Z47" s="134"/>
      <c r="AA47" s="134"/>
      <c r="AB47" s="134"/>
      <c r="AC47" s="134"/>
      <c r="AD47" s="134"/>
      <c r="AE47" s="134"/>
      <c r="AF47" s="134"/>
      <c r="AG47" s="134"/>
      <c r="AH47" s="134"/>
      <c r="AI47" s="134"/>
      <c r="AJ47" s="134"/>
      <c r="AK47" s="134"/>
      <c r="AL47" s="134"/>
      <c r="AM47" s="134"/>
      <c r="AN47" s="134"/>
      <c r="AO47" s="134"/>
      <c r="AP47" s="134"/>
      <c r="AQ47" s="134"/>
      <c r="AR47" s="135"/>
    </row>
    <row r="48" spans="1:50" ht="7.5" customHeight="1" thickBot="1" x14ac:dyDescent="0.3">
      <c r="F48" s="2"/>
      <c r="G48" s="2"/>
      <c r="H48" s="2"/>
      <c r="I48" s="2"/>
      <c r="J48" s="2"/>
      <c r="K48" s="2"/>
      <c r="L48" s="2"/>
      <c r="M48" s="2"/>
    </row>
    <row r="49" spans="1:44" ht="15.75" thickBot="1" x14ac:dyDescent="0.3">
      <c r="A49" s="168" t="s">
        <v>162</v>
      </c>
      <c r="B49" s="166"/>
      <c r="C49" s="166"/>
      <c r="D49" s="167"/>
      <c r="F49" s="211"/>
      <c r="G49" s="212">
        <f>$A$50</f>
        <v>42826</v>
      </c>
      <c r="H49" s="213"/>
      <c r="I49" s="213"/>
      <c r="J49" s="213"/>
      <c r="K49" s="213"/>
      <c r="L49" s="213"/>
      <c r="M49" s="214"/>
      <c r="N49" s="155"/>
      <c r="O49" s="211"/>
      <c r="P49" s="212">
        <f>$G$49+32</f>
        <v>42858</v>
      </c>
      <c r="Q49" s="213"/>
      <c r="R49" s="213"/>
      <c r="S49" s="213"/>
      <c r="T49" s="213"/>
      <c r="U49" s="213"/>
      <c r="V49" s="213"/>
      <c r="W49" s="214"/>
      <c r="X49" s="155"/>
      <c r="Y49" s="211"/>
      <c r="Z49" s="212">
        <f>$P$49+31</f>
        <v>42889</v>
      </c>
      <c r="AA49" s="215"/>
      <c r="AB49" s="215"/>
      <c r="AC49" s="215"/>
      <c r="AD49" s="215"/>
      <c r="AE49" s="215"/>
      <c r="AF49" s="216"/>
      <c r="AG49" s="155"/>
      <c r="AH49" s="211"/>
      <c r="AI49" s="212">
        <f>$Z$49+31</f>
        <v>42920</v>
      </c>
      <c r="AJ49" s="215"/>
      <c r="AK49" s="215"/>
      <c r="AL49" s="215"/>
      <c r="AM49" s="215"/>
      <c r="AN49" s="215"/>
      <c r="AO49" s="216"/>
      <c r="AQ49" s="217" t="s">
        <v>167</v>
      </c>
      <c r="AR49" s="218"/>
    </row>
    <row r="50" spans="1:44" ht="15.75" thickBot="1" x14ac:dyDescent="0.3">
      <c r="A50" s="157">
        <f>DATE(B53,A53,1)</f>
        <v>42826</v>
      </c>
      <c r="B50" s="158"/>
      <c r="C50" s="159"/>
      <c r="D50" s="160"/>
      <c r="F50" s="219" t="s">
        <v>165</v>
      </c>
      <c r="G50" s="207" t="s">
        <v>155</v>
      </c>
      <c r="H50" s="208" t="s">
        <v>156</v>
      </c>
      <c r="I50" s="208" t="s">
        <v>157</v>
      </c>
      <c r="J50" s="208" t="s">
        <v>158</v>
      </c>
      <c r="K50" s="208" t="s">
        <v>159</v>
      </c>
      <c r="L50" s="209" t="s">
        <v>160</v>
      </c>
      <c r="M50" s="210" t="s">
        <v>161</v>
      </c>
      <c r="N50" s="155"/>
      <c r="O50" s="219" t="s">
        <v>165</v>
      </c>
      <c r="P50" s="207" t="s">
        <v>155</v>
      </c>
      <c r="Q50" s="208" t="s">
        <v>156</v>
      </c>
      <c r="R50" s="208" t="s">
        <v>157</v>
      </c>
      <c r="S50" s="208" t="s">
        <v>158</v>
      </c>
      <c r="T50" s="208" t="s">
        <v>159</v>
      </c>
      <c r="U50" s="224" t="s">
        <v>160</v>
      </c>
      <c r="V50" s="224"/>
      <c r="W50" s="210" t="s">
        <v>161</v>
      </c>
      <c r="X50" s="155"/>
      <c r="Y50" s="219" t="s">
        <v>165</v>
      </c>
      <c r="Z50" s="207" t="s">
        <v>155</v>
      </c>
      <c r="AA50" s="208" t="s">
        <v>156</v>
      </c>
      <c r="AB50" s="208" t="s">
        <v>157</v>
      </c>
      <c r="AC50" s="208" t="s">
        <v>158</v>
      </c>
      <c r="AD50" s="208" t="s">
        <v>159</v>
      </c>
      <c r="AE50" s="209" t="s">
        <v>160</v>
      </c>
      <c r="AF50" s="210" t="s">
        <v>161</v>
      </c>
      <c r="AG50" s="155"/>
      <c r="AH50" s="219" t="s">
        <v>165</v>
      </c>
      <c r="AI50" s="207" t="s">
        <v>155</v>
      </c>
      <c r="AJ50" s="208" t="s">
        <v>156</v>
      </c>
      <c r="AK50" s="208" t="s">
        <v>157</v>
      </c>
      <c r="AL50" s="208" t="s">
        <v>158</v>
      </c>
      <c r="AM50" s="208" t="s">
        <v>159</v>
      </c>
      <c r="AN50" s="209" t="s">
        <v>160</v>
      </c>
      <c r="AO50" s="210" t="s">
        <v>161</v>
      </c>
      <c r="AQ50" s="202" t="s">
        <v>170</v>
      </c>
      <c r="AR50" s="203">
        <f>Q30-(AX26-1)</f>
        <v>40</v>
      </c>
    </row>
    <row r="51" spans="1:44" x14ac:dyDescent="0.25">
      <c r="A51" s="161"/>
      <c r="B51" s="162"/>
      <c r="C51" s="159"/>
      <c r="D51" s="160"/>
      <c r="F51" s="230">
        <f>WEEKNUM(M51,21)</f>
        <v>13</v>
      </c>
      <c r="G51" s="220" t="str">
        <f>IF(AND(YEAR((DATE($B$53,$A$53,1)-WEEKDAY(DATE($B$53,$A$53,1),2)+1)+0)=$B$53,MONTH((DATE($B$53,$A$53,1)-WEEKDAY(DATE($B$53,$A$53,1),2)+1)+0)=$A$53),((DATE($B$53,$A$53,1)-WEEKDAY(DATE($B$53,$A$53,1),2)+1)+0), "")</f>
        <v/>
      </c>
      <c r="H51" s="196" t="str">
        <f>IF(AND(YEAR((DATE($B$53,$A$53,1)-WEEKDAY(DATE($B$53,$A$53,1),2)+1)+1)=$B$53,MONTH((DATE($B$53,$A$53,1)-WEEKDAY(DATE($B$53,$A$53,1),2)+1)+1)=$A$53),((DATE($B$53,$A$53,1)-WEEKDAY(DATE($B$53,$A$53,1),2)+1)+1), "")</f>
        <v/>
      </c>
      <c r="I51" s="196" t="str">
        <f>IF(AND(YEAR((DATE($B$53,$A$53,1)-WEEKDAY(DATE($B$53,$A$53,1),2)+1)+2)=$B$53,MONTH((DATE($B$53,$A$53,1)-WEEKDAY(DATE($B$53,$A$53,1),2)+1)+2)=$A$53),((DATE($B$53,$A$53,1)-WEEKDAY(DATE($B$53,$A$53,1),2)+1)+2), "")</f>
        <v/>
      </c>
      <c r="J51" s="196" t="str">
        <f>IF(AND(YEAR((DATE($B$53,$A$53,1)-WEEKDAY(DATE($B$53,$A$53,1),2)+1)+3)=$B$53,MONTH((DATE($B$53,$A$53,1)-WEEKDAY(DATE($B$53,$A$53,1),2)+1)+3)=$A$53),((DATE($B$53,$A$53,1)-WEEKDAY(DATE($B$53,$A$53,1),2)+1)+3), "")</f>
        <v/>
      </c>
      <c r="K51" s="196" t="str">
        <f>IF(AND(YEAR((DATE($B$53,$A$53,1)-WEEKDAY(DATE($B$53,$A$53,1),2)+1)+4)=$B$53,MONTH((DATE($B$53,$A$53,1)-WEEKDAY(DATE($B$53,$A$53,1),2)+1)+4)=$A$53),((DATE($B$53,$A$53,1)-WEEKDAY(DATE($B$53,$A$53,1),2)+1)+4), "")</f>
        <v/>
      </c>
      <c r="L51" s="197">
        <f>IF(AND(YEAR((DATE($B$53,$A$53,1)-WEEKDAY(DATE($B$53,$A$53,1),2)+1)+5)=$B$53,MONTH((DATE($B$53,$A$53,1)-WEEKDAY(DATE($B$53,$A$53,1),2)+1)+5)=$A$53),((DATE($B$53,$A$53,1)-WEEKDAY(DATE($B$53,$A$53,1),2)+1)+5), "")</f>
        <v>42826</v>
      </c>
      <c r="M51" s="198">
        <f>IF(AND(YEAR((DATE($B$53,$A$53,1)-WEEKDAY(DATE($B$53,$A$53,1),2)+1)+6)=$B$53,MONTH((DATE($B$53,$A$53,1)-WEEKDAY(DATE($B$53,$A$53,1),2)+1)+6)=$A$53),((DATE($B$53,$A$53,1)-WEEKDAY(DATE($B$53,$A$53,1),2)+1)+6), "")</f>
        <v>42827</v>
      </c>
      <c r="N51" s="155"/>
      <c r="O51" s="230">
        <f>WEEKNUM(W51,21)</f>
        <v>18</v>
      </c>
      <c r="P51" s="220">
        <f>IF(AND(YEAR((DATE($B$54,$A$54,1)-WEEKDAY(DATE($B$54,$A$54,1),2)+1)+0)=$B$54,MONTH((DATE($B$54,$A$54,1)-WEEKDAY(DATE($B$54,$A$54,1),2)+1)+0)=$A$54),((DATE($B$54,$A$54,1)-WEEKDAY(DATE($B$54,$A$54,1),2)+1)+0), "")</f>
        <v>42856</v>
      </c>
      <c r="Q51" s="196">
        <f>IF(AND(YEAR((DATE($B$54,$A$54,1)-WEEKDAY(DATE($B$54,$A$54,1),2)+1)+1)=$B$54,MONTH((DATE($B$54,$A$54,1)-WEEKDAY(DATE($B$54,$A$54,1),2)+1)+1)=$A$54),((DATE($B$54,$A$54,1)-WEEKDAY(DATE($B$54,$A$54,1),2)+1)+1), "")</f>
        <v>42857</v>
      </c>
      <c r="R51" s="196">
        <f>IF(AND(YEAR((DATE($B$54,$A$54,1)-WEEKDAY(DATE($B$54,$A$54,1),2)+1)+2)=$B$54,MONTH((DATE($B$54,$A$54,1)-WEEKDAY(DATE($B$54,$A$54,1),2)+1)+2)=$A$54),((DATE($B$54,$A$54,1)-WEEKDAY(DATE($B$54,$A$54,1),2)+1)+2), "")</f>
        <v>42858</v>
      </c>
      <c r="S51" s="196">
        <f>IF(AND(YEAR((DATE($B$54,$A$54,1)-WEEKDAY(DATE($B$54,$A$54,1),2)+1)+3)=$B$54,MONTH((DATE($B$54,$A$54,1)-WEEKDAY(DATE($B$54,$A$54,1),2)+1)+3)=$A$54),((DATE($B$54,$A$54,1)-WEEKDAY(DATE($B$54,$A$54,1),2)+1)+3), "")</f>
        <v>42859</v>
      </c>
      <c r="T51" s="196">
        <f>IF(AND(YEAR((DATE($B$54,$A$54,1)-WEEKDAY(DATE($B$54,$A$54,1),2)+1)+4)=$B$54,MONTH((DATE($B$54,$A$54,1)-WEEKDAY(DATE($B$54,$A$54,1),2)+1)+4)=$A$54),((DATE($B$54,$A$54,1)-WEEKDAY(DATE($B$54,$A$54,1),2)+1)+4), "")</f>
        <v>42860</v>
      </c>
      <c r="U51" s="222">
        <f>IF(AND(YEAR((DATE($B$54,$A$54,1)-WEEKDAY(DATE($B$54,$A$54,1),2)+1)+5)=$B$54,MONTH((DATE($B$54,$A$54,1)-WEEKDAY(DATE($B$54,$A$54,1),2)+1)+5)=$A$54),((DATE($B$54,$A$54,1)-WEEKDAY(DATE($B$54,$A$54,1),2)+1)+5), "")</f>
        <v>42861</v>
      </c>
      <c r="V51" s="222"/>
      <c r="W51" s="198">
        <f>IF(AND(YEAR((DATE($B$54,$A$54,1)-WEEKDAY(DATE($B$54,$A$54,1),2)+1)+6)=$B$54,MONTH((DATE($B$54,$A$54,1)-WEEKDAY(DATE($B$54,$A$54,1),2)+1)+6)=$A$54),((DATE($B$54,$A$54,1)-WEEKDAY(DATE($B$54,$A$54,1),2)+1)+6), "")</f>
        <v>42862</v>
      </c>
      <c r="X51" s="155"/>
      <c r="Y51" s="230">
        <f>WEEKNUM(AF51,21)</f>
        <v>22</v>
      </c>
      <c r="Z51" s="220" t="str">
        <f>IF(AND(YEAR((DATE($B$55,$A$55,1)-WEEKDAY(DATE($B$55,$A$55,1),2)+1)+0)=$B$55,MONTH((DATE($B$55,$A$55,1)-WEEKDAY(DATE($B$55,$A$55,1),2)+1)+0)=$A$55),((DATE($B$55,$A$55,1)-WEEKDAY(DATE($B$55,$A$55,1),2)+1)+0), "")</f>
        <v/>
      </c>
      <c r="AA51" s="196" t="str">
        <f>IF(AND(YEAR((DATE($B$55,$A$55,1)-WEEKDAY(DATE($B$55,$A$55,1),2)+1)+1)=$B$55,MONTH((DATE($B$55,$A$55,1)-WEEKDAY(DATE($B$55,$A$55,1),2)+1)+1)=$A$55),((DATE($B$55,$A$55,1)-WEEKDAY(DATE($B$55,$A$55,1),2)+1)+1), "")</f>
        <v/>
      </c>
      <c r="AB51" s="196" t="str">
        <f>IF(AND(YEAR((DATE($B$55,$A$55,1)-WEEKDAY(DATE($B$55,$A$55,1),2)+1)+2)=$B$55,MONTH((DATE($B$55,$A$55,1)-WEEKDAY(DATE($B$55,$A$55,1),2)+1)+2)=$A$55),((DATE($B$55,$A$55,1)-WEEKDAY(DATE($B$55,$A$55,1),2)+1)+2), "")</f>
        <v/>
      </c>
      <c r="AC51" s="196">
        <f>IF(AND(YEAR((DATE($B$55,$A$55,1)-WEEKDAY(DATE($B$55,$A$55,1),2)+1)+3)=$B$55,MONTH((DATE($B$55,$A$55,1)-WEEKDAY(DATE($B$55,$A$55,1),2)+1)+3)=$A$55),((DATE($B$55,$A$55,1)-WEEKDAY(DATE($B$55,$A$55,1),2)+1)+3), "")</f>
        <v>42887</v>
      </c>
      <c r="AD51" s="196">
        <f>IF(AND(YEAR((DATE($B$55,$A$55,1)-WEEKDAY(DATE($B$55,$A$55,1),2)+1)+4)=$B$55,MONTH((DATE($B$55,$A$55,1)-WEEKDAY(DATE($B$55,$A$55,1),2)+1)+4)=$A$55),((DATE($B$55,$A$55,1)-WEEKDAY(DATE($B$55,$A$55,1),2)+1)+4), "")</f>
        <v>42888</v>
      </c>
      <c r="AE51" s="197">
        <f>IF(AND(YEAR((DATE($B$55,$A$55,1)-WEEKDAY(DATE($B$55,$A$55,1),2)+1)+5)=$B$55,MONTH((DATE($B$55,$A$55,1)-WEEKDAY(DATE($B$55,$A$55,1),2)+1)+5)=$A$55),((DATE($B$55,$A$55,1)-WEEKDAY(DATE($B$55,$A$55,1),2)+1)+5), "")</f>
        <v>42889</v>
      </c>
      <c r="AF51" s="198">
        <f>IF(AND(YEAR((DATE($B$55,$A$55,1)-WEEKDAY(DATE($B$55,$A$55,1),2)+1)+6)=$B$55,MONTH((DATE($B$55,$A$55,1)-WEEKDAY(DATE($B$55,$A$55,1),2)+1)+6)=$A$55),((DATE($B$55,$A$55,1)-WEEKDAY(DATE($B$55,$A$55,1),2)+1)+6), "")</f>
        <v>42890</v>
      </c>
      <c r="AG51" s="155"/>
      <c r="AH51" s="230">
        <f>WEEKNUM(AO51,21)</f>
        <v>26</v>
      </c>
      <c r="AI51" s="220" t="str">
        <f>IF(AND(YEAR((DATE($B$56,$A$56,1)-WEEKDAY(DATE($B$56,$A$56,1),2)+1)+0)=$B$56,MONTH((DATE($B$56,$A$56,1)-WEEKDAY(DATE($B$56,$A$56,1),2)+1)+0)=$A$56),((DATE($B$56,$A$56,1)-WEEKDAY(DATE($B$56,$A$56,1),2)+1)+0), "")</f>
        <v/>
      </c>
      <c r="AJ51" s="196" t="str">
        <f>IF(AND(YEAR((DATE($B$56,$A$56,1)-WEEKDAY(DATE($B$56,$A$56,1),2)+1)+1)=$B$56,MONTH((DATE($B$56,$A$56,1)-WEEKDAY(DATE($B$56,$A$56,1),2)+1)+1)=$A$56),((DATE($B$56,$A$56,1)-WEEKDAY(DATE($B$56,$A$56,1),2)+1)+1), "")</f>
        <v/>
      </c>
      <c r="AK51" s="196" t="str">
        <f>IF(AND(YEAR((DATE($B$56,$A$56,1)-WEEKDAY(DATE($B$56,$A$56,1),2)+1)+2)=$B$56,MONTH((DATE($B$56,$A$56,1)-WEEKDAY(DATE($B$56,$A$56,1),2)+1)+2)=$A$56),((DATE($B$56,$A$56,1)-WEEKDAY(DATE($B$56,$A$56,1),2)+1)+2), "")</f>
        <v/>
      </c>
      <c r="AL51" s="196" t="str">
        <f>IF(AND(YEAR((DATE($B$56,$A$56,1)-WEEKDAY(DATE($B$56,$A$56,1),2)+1)+3)=$B$56,MONTH((DATE($B$56,$A$56,1)-WEEKDAY(DATE($B$56,$A$56,1),2)+1)+3)=$A$56),((DATE($B$56,$A$56,1)-WEEKDAY(DATE($B$56,$A$56,1),2)+1)+3), "")</f>
        <v/>
      </c>
      <c r="AM51" s="196" t="str">
        <f>IF(AND(YEAR((DATE($B$56,$A$56,1)-WEEKDAY(DATE($B$56,$A$56,1),2)+1)+4)=$B$56,MONTH((DATE($B$56,$A$56,1)-WEEKDAY(DATE($B$56,$A$56,1),2)+1)+4)=$A$56),((DATE($B$56,$A$56,1)-WEEKDAY(DATE($B$56,$A$56,1),2)+1)+4), "")</f>
        <v/>
      </c>
      <c r="AN51" s="197">
        <f>IF(AND(YEAR((DATE($B$56,$A$56,1)-WEEKDAY(DATE($B$56,$A$56,1),2)+1)+5)=$B$56,MONTH((DATE($B$56,$A$56,1)-WEEKDAY(DATE($B$56,$A$56,1),2)+1)+5)=$A$56),((DATE($B$56,$A$56,1)-WEEKDAY(DATE($B$56,$A$56,1),2)+1)+5), "")</f>
        <v>42917</v>
      </c>
      <c r="AO51" s="198">
        <f>IF(AND(YEAR((DATE($B$56,$A$56,1)-WEEKDAY(DATE($B$56,$A$56,1),2)+1)+6)=$B$56,MONTH((DATE($B$56,$A$56,1)-WEEKDAY(DATE($B$56,$A$56,1),2)+1)+6)=$A$56),((DATE($B$56,$A$56,1)-WEEKDAY(DATE($B$56,$A$56,1),2)+1)+6), "")</f>
        <v>42918</v>
      </c>
      <c r="AQ51" s="202" t="s">
        <v>173</v>
      </c>
      <c r="AR51" s="203">
        <f>R38-Q30</f>
        <v>14</v>
      </c>
    </row>
    <row r="52" spans="1:44" x14ac:dyDescent="0.25">
      <c r="A52" s="161"/>
      <c r="B52" s="162"/>
      <c r="C52" s="159"/>
      <c r="D52" s="160"/>
      <c r="F52" s="230">
        <f>WEEKNUM(G52,21)</f>
        <v>14</v>
      </c>
      <c r="G52" s="196">
        <f>IF(AND(YEAR((DATE($B$53,$A$53,1)-WEEKDAY(DATE($B$53,$A$53,1),2)+1)+7)=$B$53,MONTH((DATE($B$53,$A$53,1)-WEEKDAY(DATE($B$53,$A$53,1),2)+1)+7)=$A$53),((DATE($B$53,$A$53,1)-WEEKDAY(DATE($B$53,$A$53,1),2)+1)+7), "")</f>
        <v>42828</v>
      </c>
      <c r="H52" s="196">
        <f>IF(AND(YEAR((DATE($B$53,$A$53,1)-WEEKDAY(DATE($B$53,$A$53,1),2)+1)+8)=$B$53,MONTH((DATE($B$53,$A$53,1)-WEEKDAY(DATE($B$53,$A$53,1),2)+1)+8)=$A$53),((DATE($B$53,$A$53,1)-WEEKDAY(DATE($B$53,$A$53,1),2)+1)+8), "")</f>
        <v>42829</v>
      </c>
      <c r="I52" s="196">
        <f>IF(AND(YEAR((DATE($B$53,$A$53,1)-WEEKDAY(DATE($B$53,$A$53,1),2)+1)+9)=$B$53,MONTH((DATE($B$53,$A$53,1)-WEEKDAY(DATE($B$53,$A$53,1),2)+1)+9)=$A$53),((DATE($B$53,$A$53,1)-WEEKDAY(DATE($B$53,$A$53,1),2)+1)+9), "")</f>
        <v>42830</v>
      </c>
      <c r="J52" s="196">
        <f>IF(AND(YEAR((DATE($B$53,$A$53,1)-WEEKDAY(DATE($B$53,$A$53,1),2)+1)+10)=$B$53,MONTH((DATE($B$53,$A$53,1)-WEEKDAY(DATE($B$53,$A$53,1),2)+1)+10)=$A$53),((DATE($B$53,$A$53,1)-WEEKDAY(DATE($B$53,$A$53,1),2)+1)+10), "")</f>
        <v>42831</v>
      </c>
      <c r="K52" s="196">
        <f>IF(AND(YEAR((DATE($B$53,$A$53,1)-WEEKDAY(DATE($B$53,$A$53,1),2)+1)+11)=$B$53,MONTH((DATE($B$53,$A$53,1)-WEEKDAY(DATE($B$53,$A$53,1),2)+1)+11)=$A$53),((DATE($B$53,$A$53,1)-WEEKDAY(DATE($B$53,$A$53,1),2)+1)+11), "")</f>
        <v>42832</v>
      </c>
      <c r="L52" s="197">
        <f>IF(AND(YEAR((DATE($B$53,$A$53,1)-WEEKDAY(DATE($B$53,$A$53,1),2)+1)+12)=$B$53,MONTH((DATE($B$53,$A$53,1)-WEEKDAY(DATE($B$53,$A$53,1),2)+1)+12)=$A$53),((DATE($B$53,$A$53,1)-WEEKDAY(DATE($B$53,$A$53,1),2)+1)+12), "")</f>
        <v>42833</v>
      </c>
      <c r="M52" s="198">
        <f>IF(AND(YEAR((DATE($B$53,$A$53,1)-WEEKDAY(DATE($B$53,$A$53,1),2)+1)+13)=$B$53,MONTH((DATE($B$53,$A$53,1)-WEEKDAY(DATE($B$53,$A$53,1),2)+1)+13)=$A$53),((DATE($B$53,$A$53,1)-WEEKDAY(DATE($B$53,$A$53,1),2)+1)+13), "")</f>
        <v>42834</v>
      </c>
      <c r="N52" s="155"/>
      <c r="O52" s="230">
        <f>WEEKNUM(P52,21)</f>
        <v>19</v>
      </c>
      <c r="P52" s="196">
        <f>IF(AND(YEAR((DATE($B$54,$A$54,1)-WEEKDAY(DATE($B$54,$A$54,1),2)+1)+7)=$B$54,MONTH((DATE($B$54,$A$54,1)-WEEKDAY(DATE($B$54,$A$54,1),2)+1)+7)=$A$54),((DATE($B$54,$A$54,1)-WEEKDAY(DATE($B$54,$A$54,1),2)+1)+7), "")</f>
        <v>42863</v>
      </c>
      <c r="Q52" s="196">
        <f>IF(AND(YEAR((DATE($B$54,$A$54,1)-WEEKDAY(DATE($B$54,$A$54,1),2)+1)+8)=$B$54,MONTH((DATE($B$54,$A$54,1)-WEEKDAY(DATE($B$54,$A$54,1),2)+1)+8)=$A$54),((DATE($B$54,$A$54,1)-WEEKDAY(DATE($B$54,$A$54,1),2)+1)+8), "")</f>
        <v>42864</v>
      </c>
      <c r="R52" s="196">
        <f>IF(AND(YEAR((DATE($B$54,$A$54,1)-WEEKDAY(DATE($B$54,$A$54,1),2)+1)+9)=$B$54,MONTH((DATE($B$54,$A$54,1)-WEEKDAY(DATE($B$54,$A$54,1),2)+1)+9)=$A$54),((DATE($B$54,$A$54,1)-WEEKDAY(DATE($B$54,$A$54,1),2)+1)+9), "")</f>
        <v>42865</v>
      </c>
      <c r="S52" s="196">
        <f>IF(AND(YEAR((DATE($B$54,$A$54,1)-WEEKDAY(DATE($B$54,$A$54,1),2)+1)+10)=$B$54,MONTH((DATE($B$54,$A$54,1)-WEEKDAY(DATE($B$54,$A$54,1),2)+1)+10)=$A$54),((DATE($B$54,$A$54,1)-WEEKDAY(DATE($B$54,$A$54,1),2)+1)+10), "")</f>
        <v>42866</v>
      </c>
      <c r="T52" s="196">
        <f>IF(AND(YEAR((DATE($B$54,$A$54,1)-WEEKDAY(DATE($B$54,$A$54,1),2)+1)+11)=$B$54,MONTH((DATE($B$54,$A$54,1)-WEEKDAY(DATE($B$54,$A$54,1),2)+1)+11)=$A$54),((DATE($B$54,$A$54,1)-WEEKDAY(DATE($B$54,$A$54,1),2)+1)+11), "")</f>
        <v>42867</v>
      </c>
      <c r="U52" s="221">
        <f>IF(AND(YEAR((DATE($B$54,$A$54,1)-WEEKDAY(DATE($B$54,$A$54,1),2)+1)+12)=$B$54,MONTH((DATE($B$54,$A$54,1)-WEEKDAY(DATE($B$54,$A$54,1),2)+1)+12)=$A$54),((DATE($B$54,$A$54,1)-WEEKDAY(DATE($B$54,$A$54,1),2)+1)+12), "")</f>
        <v>42868</v>
      </c>
      <c r="V52" s="221"/>
      <c r="W52" s="198">
        <f>IF(AND(YEAR((DATE($B$54,$A$54,1)-WEEKDAY(DATE($B$54,$A$54,1),2)+1)+13)=$B$54,MONTH((DATE($B$54,$A$54,1)-WEEKDAY(DATE($B$54,$A$54,1),2)+1)+13)=$A$54),((DATE($B$54,$A$54,1)-WEEKDAY(DATE($B$54,$A$54,1),2)+1)+13), "")</f>
        <v>42869</v>
      </c>
      <c r="X52" s="155"/>
      <c r="Y52" s="230">
        <f>WEEKNUM(Z52,21)</f>
        <v>23</v>
      </c>
      <c r="Z52" s="196">
        <f>IF(AND(YEAR((DATE($B$55,$A$55,1)-WEEKDAY(DATE($B$55,$A$55,1),2)+1)+7)=$B$55,MONTH((DATE($B$55,$A$55,1)-WEEKDAY(DATE($B$55,$A$55,1),2)+1)+7)=$A$55),((DATE($B$55,$A$55,1)-WEEKDAY(DATE($B$55,$A$55,1),2)+1)+7), "")</f>
        <v>42891</v>
      </c>
      <c r="AA52" s="196">
        <f>IF(AND(YEAR((DATE($B$55,$A$55,1)-WEEKDAY(DATE($B$55,$A$55,1),2)+1)+8)=$B$55,MONTH((DATE($B$55,$A$55,1)-WEEKDAY(DATE($B$55,$A$55,1),2)+1)+8)=$A$55),((DATE($B$55,$A$55,1)-WEEKDAY(DATE($B$55,$A$55,1),2)+1)+8), "")</f>
        <v>42892</v>
      </c>
      <c r="AB52" s="227">
        <f>IF(AND(YEAR((DATE($B$55,$A$55,1)-WEEKDAY(DATE($B$55,$A$55,1),2)+1)+9)=$B$55,MONTH((DATE($B$55,$A$55,1)-WEEKDAY(DATE($B$55,$A$55,1),2)+1)+9)=$A$55),((DATE($B$55,$A$55,1)-WEEKDAY(DATE($B$55,$A$55,1),2)+1)+9), "")</f>
        <v>42893</v>
      </c>
      <c r="AC52" s="196">
        <f>IF(AND(YEAR((DATE($B$55,$A$55,1)-WEEKDAY(DATE($B$55,$A$55,1),2)+1)+10)=$B$55,MONTH((DATE($B$55,$A$55,1)-WEEKDAY(DATE($B$55,$A$55,1),2)+1)+10)=$A$55),((DATE($B$55,$A$55,1)-WEEKDAY(DATE($B$55,$A$55,1),2)+1)+10), "")</f>
        <v>42894</v>
      </c>
      <c r="AD52" s="196">
        <f>IF(AND(YEAR((DATE($B$55,$A$55,1)-WEEKDAY(DATE($B$55,$A$55,1),2)+1)+11)=$B$55,MONTH((DATE($B$55,$A$55,1)-WEEKDAY(DATE($B$55,$A$55,1),2)+1)+11)=$A$55),((DATE($B$55,$A$55,1)-WEEKDAY(DATE($B$55,$A$55,1),2)+1)+11), "")</f>
        <v>42895</v>
      </c>
      <c r="AE52" s="197">
        <f>IF(AND(YEAR((DATE($B$55,$A$55,1)-WEEKDAY(DATE($B$55,$A$55,1),2)+1)+12)=$B$55,MONTH((DATE($B$55,$A$55,1)-WEEKDAY(DATE($B$55,$A$55,1),2)+1)+12)=$A$55),((DATE($B$55,$A$55,1)-WEEKDAY(DATE($B$55,$A$55,1),2)+1)+12), "")</f>
        <v>42896</v>
      </c>
      <c r="AF52" s="198">
        <f>IF(AND(YEAR((DATE($B$55,$A$55,1)-WEEKDAY(DATE($B$55,$A$55,1),2)+1)+13)=$B$55,MONTH((DATE($B$55,$A$55,1)-WEEKDAY(DATE($B$55,$A$55,1),2)+1)+13)=$A$55),((DATE($B$55,$A$55,1)-WEEKDAY(DATE($B$55,$A$55,1),2)+1)+13), "")</f>
        <v>42897</v>
      </c>
      <c r="AG52" s="155"/>
      <c r="AH52" s="230">
        <f>WEEKNUM(AI52,21)</f>
        <v>27</v>
      </c>
      <c r="AI52" s="196">
        <f>IF(AND(YEAR((DATE($B$56,$A$56,1)-WEEKDAY(DATE($B$56,$A$56,1),2)+1)+7)=$B$56,MONTH((DATE($B$56,$A$56,1)-WEEKDAY(DATE($B$56,$A$56,1),2)+1)+7)=$A$56),((DATE($B$56,$A$56,1)-WEEKDAY(DATE($B$56,$A$56,1),2)+1)+7), "")</f>
        <v>42919</v>
      </c>
      <c r="AJ52" s="196">
        <f>IF(AND(YEAR((DATE($B$56,$A$56,1)-WEEKDAY(DATE($B$56,$A$56,1),2)+1)+8)=$B$56,MONTH((DATE($B$56,$A$56,1)-WEEKDAY(DATE($B$56,$A$56,1),2)+1)+8)=$A$56),((DATE($B$56,$A$56,1)-WEEKDAY(DATE($B$56,$A$56,1),2)+1)+8), "")</f>
        <v>42920</v>
      </c>
      <c r="AK52" s="196">
        <f>IF(AND(YEAR((DATE($B$56,$A$56,1)-WEEKDAY(DATE($B$56,$A$56,1),2)+1)+9)=$B$56,MONTH((DATE($B$56,$A$56,1)-WEEKDAY(DATE($B$56,$A$56,1),2)+1)+9)=$A$56),((DATE($B$56,$A$56,1)-WEEKDAY(DATE($B$56,$A$56,1),2)+1)+9), "")</f>
        <v>42921</v>
      </c>
      <c r="AL52" s="196">
        <f>IF(AND(YEAR((DATE($B$56,$A$56,1)-WEEKDAY(DATE($B$56,$A$56,1),2)+1)+10)=$B$56,MONTH((DATE($B$56,$A$56,1)-WEEKDAY(DATE($B$56,$A$56,1),2)+1)+10)=$A$56),((DATE($B$56,$A$56,1)-WEEKDAY(DATE($B$56,$A$56,1),2)+1)+10), "")</f>
        <v>42922</v>
      </c>
      <c r="AM52" s="196">
        <f>IF(AND(YEAR((DATE($B$56,$A$56,1)-WEEKDAY(DATE($B$56,$A$56,1),2)+1)+11)=$B$56,MONTH((DATE($B$56,$A$56,1)-WEEKDAY(DATE($B$56,$A$56,1),2)+1)+11)=$A$56),((DATE($B$56,$A$56,1)-WEEKDAY(DATE($B$56,$A$56,1),2)+1)+11), "")</f>
        <v>42923</v>
      </c>
      <c r="AN52" s="197">
        <f>IF(AND(YEAR((DATE($B$56,$A$56,1)-WEEKDAY(DATE($B$56,$A$56,1),2)+1)+12)=$B$56,MONTH((DATE($B$56,$A$56,1)-WEEKDAY(DATE($B$56,$A$56,1),2)+1)+12)=$A$56),((DATE($B$56,$A$56,1)-WEEKDAY(DATE($B$56,$A$56,1),2)+1)+12), "")</f>
        <v>42924</v>
      </c>
      <c r="AO52" s="198">
        <f>IF(AND(YEAR((DATE($B$56,$A$56,1)-WEEKDAY(DATE($B$56,$A$56,1),2)+1)+13)=$B$56,MONTH((DATE($B$56,$A$56,1)-WEEKDAY(DATE($B$56,$A$56,1),2)+1)+13)=$A$56),((DATE($B$56,$A$56,1)-WEEKDAY(DATE($B$56,$A$56,1),2)+1)+13), "")</f>
        <v>42925</v>
      </c>
      <c r="AQ52" s="202" t="s">
        <v>176</v>
      </c>
      <c r="AR52" s="203">
        <f>R41-Q39</f>
        <v>20</v>
      </c>
    </row>
    <row r="53" spans="1:44" x14ac:dyDescent="0.25">
      <c r="A53" s="161">
        <f>MONTH($Q$26)</f>
        <v>4</v>
      </c>
      <c r="B53" s="162">
        <f>YEAR($Q$26)</f>
        <v>2017</v>
      </c>
      <c r="C53" s="159"/>
      <c r="D53" s="160"/>
      <c r="F53" s="230">
        <f t="shared" ref="F53:F55" si="0">WEEKNUM(G53,21)</f>
        <v>15</v>
      </c>
      <c r="G53" s="196">
        <f>IF(AND(YEAR((DATE($B$53,$A$53,1)-WEEKDAY(DATE($B$53,$A$53,1),2)+1)+14)=$B$53,MONTH((DATE($B$53,$A$53,1)-WEEKDAY(DATE($B$53,$A$53,1),2)+1)+14)=$A$53),((DATE($B$53,$A$53,1)-WEEKDAY(DATE($B$53,$A$53,1),2)+1)+14), "")</f>
        <v>42835</v>
      </c>
      <c r="H53" s="196">
        <f>IF(AND(YEAR((DATE($B$53,$A$53,1)-WEEKDAY(DATE($B$53,$A$53,1),2)+1)+15)=$B$53,MONTH((DATE($B$53,$A$53,1)-WEEKDAY(DATE($B$53,$A$53,1),2)+1)+15)=$A$53),((DATE($B$53,$A$53,1)-WEEKDAY(DATE($B$53,$A$53,1),2)+1)+15), "")</f>
        <v>42836</v>
      </c>
      <c r="I53" s="196">
        <f>IF(AND(YEAR((DATE($B$53,$A$53,1)-WEEKDAY(DATE($B$53,$A$53,1),2)+1)+16)=$B$53,MONTH((DATE($B$53,$A$53,1)-WEEKDAY(DATE($B$53,$A$53,1),2)+1)+16)=$A$53),((DATE($B$53,$A$53,1)-WEEKDAY(DATE($B$53,$A$53,1),2)+1)+16), "")</f>
        <v>42837</v>
      </c>
      <c r="J53" s="196">
        <f>IF(AND(YEAR((DATE($B$53,$A$53,1)-WEEKDAY(DATE($B$53,$A$53,1),2)+1)+17)=$B$53,MONTH((DATE($B$53,$A$53,1)-WEEKDAY(DATE($B$53,$A$53,1),2)+1)+17)=$A$53),((DATE($B$53,$A$53,1)-WEEKDAY(DATE($B$53,$A$53,1),2)+1)+17), "")</f>
        <v>42838</v>
      </c>
      <c r="K53" s="196">
        <f>IF(AND(YEAR((DATE($B$53,$A$53,1)-WEEKDAY(DATE($B$53,$A$53,1),2)+1)+18)=$B$53,MONTH((DATE($B$53,$A$53,1)-WEEKDAY(DATE($B$53,$A$53,1),2)+1)+18)=$A$53),((DATE($B$53,$A$53,1)-WEEKDAY(DATE($B$53,$A$53,1),2)+1)+18), "")</f>
        <v>42839</v>
      </c>
      <c r="L53" s="197">
        <f>IF(AND(YEAR((DATE($B$53,$A$53,1)-WEEKDAY(DATE($B$53,$A$53,1),2)+1)+19)=$B$53,MONTH((DATE($B$53,$A$53,1)-WEEKDAY(DATE($B$53,$A$53,1),2)+1)+19)=$A$53),((DATE($B$53,$A$53,1)-WEEKDAY(DATE($B$53,$A$53,1),2)+1)+19), "")</f>
        <v>42840</v>
      </c>
      <c r="M53" s="198">
        <f>IF(AND(YEAR((DATE($B$53,$A$53,1)-WEEKDAY(DATE($B$53,$A$53,1),2)+1)+20)=$B$53,MONTH((DATE($B$53,$A$53,1)-WEEKDAY(DATE($B$53,$A$53,1),2)+1)+20)=$A$53),((DATE($B$53,$A$53,1)-WEEKDAY(DATE($B$53,$A$53,1),2)+1)+20), "")</f>
        <v>42841</v>
      </c>
      <c r="N53" s="155"/>
      <c r="O53" s="230">
        <f t="shared" ref="O53:O55" si="1">WEEKNUM(P53,21)</f>
        <v>20</v>
      </c>
      <c r="P53" s="196">
        <f>IF(AND(YEAR((DATE($B$54,$A$54,1)-WEEKDAY(DATE($B$54,$A$54,1),2)+1)+14)=$B$54,MONTH((DATE($B$54,$A$54,1)-WEEKDAY(DATE($B$54,$A$54,1),2)+1)+14)=$A$54),((DATE($B$54,$A$54,1)-WEEKDAY(DATE($B$54,$A$54,1),2)+1)+14), "")</f>
        <v>42870</v>
      </c>
      <c r="Q53" s="196">
        <f>IF(AND(YEAR((DATE($B$54,$A$54,1)-WEEKDAY(DATE($B$54,$A$54,1),2)+1)+15)=$B$54,MONTH((DATE($B$54,$A$54,1)-WEEKDAY(DATE($B$54,$A$54,1),2)+1)+15)=$A$54),((DATE($B$54,$A$54,1)-WEEKDAY(DATE($B$54,$A$54,1),2)+1)+15), "")</f>
        <v>42871</v>
      </c>
      <c r="R53" s="196">
        <f>IF(AND(YEAR((DATE($B$54,$A$54,1)-WEEKDAY(DATE($B$54,$A$54,1),2)+1)+16)=$B$54,MONTH((DATE($B$54,$A$54,1)-WEEKDAY(DATE($B$54,$A$54,1),2)+1)+16)=$A$54),((DATE($B$54,$A$54,1)-WEEKDAY(DATE($B$54,$A$54,1),2)+1)+16), "")</f>
        <v>42872</v>
      </c>
      <c r="S53" s="196">
        <f>IF(AND(YEAR((DATE($B$54,$A$54,1)-WEEKDAY(DATE($B$54,$A$54,1),2)+1)+17)=$B$54,MONTH((DATE($B$54,$A$54,1)-WEEKDAY(DATE($B$54,$A$54,1),2)+1)+17)=$A$54),((DATE($B$54,$A$54,1)-WEEKDAY(DATE($B$54,$A$54,1),2)+1)+17), "")</f>
        <v>42873</v>
      </c>
      <c r="T53" s="196">
        <f>IF(AND(YEAR((DATE($B$54,$A$54,1)-WEEKDAY(DATE($B$54,$A$54,1),2)+1)+18)=$B$54,MONTH((DATE($B$54,$A$54,1)-WEEKDAY(DATE($B$54,$A$54,1),2)+1)+18)=$A$54),((DATE($B$54,$A$54,1)-WEEKDAY(DATE($B$54,$A$54,1),2)+1)+18), "")</f>
        <v>42874</v>
      </c>
      <c r="U53" s="221">
        <f>IF(AND(YEAR((DATE($B$54,$A$54,1)-WEEKDAY(DATE($B$54,$A$54,1),2)+1)+19)=$B$54,MONTH((DATE($B$54,$A$54,1)-WEEKDAY(DATE($B$54,$A$54,1),2)+1)+19)=$A$54),((DATE($B$54,$A$54,1)-WEEKDAY(DATE($B$54,$A$54,1),2)+1)+19), "")</f>
        <v>42875</v>
      </c>
      <c r="V53" s="221"/>
      <c r="W53" s="198">
        <f>IF(AND(YEAR((DATE($B$54,$A$54,1)-WEEKDAY(DATE($B$54,$A$54,1),2)+1)+20)=$B$54,MONTH((DATE($B$54,$A$54,1)-WEEKDAY(DATE($B$54,$A$54,1),2)+1)+20)=$A$54),((DATE($B$54,$A$54,1)-WEEKDAY(DATE($B$54,$A$54,1),2)+1)+20), "")</f>
        <v>42876</v>
      </c>
      <c r="X53" s="155"/>
      <c r="Y53" s="230">
        <f t="shared" ref="Y53:Y55" si="2">WEEKNUM(Z53,21)</f>
        <v>24</v>
      </c>
      <c r="Z53" s="196">
        <f>IF(AND(YEAR((DATE($B$55,$A$55,1)-WEEKDAY(DATE($B$55,$A$55,1),2)+1)+14)=$B$55,MONTH((DATE($B$55,$A$55,1)-WEEKDAY(DATE($B$55,$A$55,1),2)+1)+14)=$A$55),((DATE($B$55,$A$55,1)-WEEKDAY(DATE($B$55,$A$55,1),2)+1)+14), "")</f>
        <v>42898</v>
      </c>
      <c r="AA53" s="196">
        <f>IF(AND(YEAR((DATE($B$55,$A$55,1)-WEEKDAY(DATE($B$55,$A$55,1),2)+1)+15)=$B$55,MONTH((DATE($B$55,$A$55,1)-WEEKDAY(DATE($B$55,$A$55,1),2)+1)+15)=$A$55),((DATE($B$55,$A$55,1)-WEEKDAY(DATE($B$55,$A$55,1),2)+1)+15), "")</f>
        <v>42899</v>
      </c>
      <c r="AB53" s="196">
        <f>IF(AND(YEAR((DATE($B$55,$A$55,1)-WEEKDAY(DATE($B$55,$A$55,1),2)+1)+16)=$B$55,MONTH((DATE($B$55,$A$55,1)-WEEKDAY(DATE($B$55,$A$55,1),2)+1)+16)=$A$55),((DATE($B$55,$A$55,1)-WEEKDAY(DATE($B$55,$A$55,1),2)+1)+16), "")</f>
        <v>42900</v>
      </c>
      <c r="AC53" s="196">
        <f>IF(AND(YEAR((DATE($B$55,$A$55,1)-WEEKDAY(DATE($B$55,$A$55,1),2)+1)+17)=$B$55,MONTH((DATE($B$55,$A$55,1)-WEEKDAY(DATE($B$55,$A$55,1),2)+1)+17)=$A$55),((DATE($B$55,$A$55,1)-WEEKDAY(DATE($B$55,$A$55,1),2)+1)+17), "")</f>
        <v>42901</v>
      </c>
      <c r="AD53" s="196">
        <f>IF(AND(YEAR((DATE($B$55,$A$55,1)-WEEKDAY(DATE($B$55,$A$55,1),2)+1)+18)=$B$55,MONTH((DATE($B$55,$A$55,1)-WEEKDAY(DATE($B$55,$A$55,1),2)+1)+18)=$A$55),((DATE($B$55,$A$55,1)-WEEKDAY(DATE($B$55,$A$55,1),2)+1)+18), "")</f>
        <v>42902</v>
      </c>
      <c r="AE53" s="197">
        <f>IF(AND(YEAR((DATE($B$55,$A$55,1)-WEEKDAY(DATE($B$55,$A$55,1),2)+1)+19)=$B$55,MONTH((DATE($B$55,$A$55,1)-WEEKDAY(DATE($B$55,$A$55,1),2)+1)+19)=$A$55),((DATE($B$55,$A$55,1)-WEEKDAY(DATE($B$55,$A$55,1),2)+1)+19), "")</f>
        <v>42903</v>
      </c>
      <c r="AF53" s="198">
        <f>IF(AND(YEAR((DATE($B$55,$A$55,1)-WEEKDAY(DATE($B$55,$A$55,1),2)+1)+20)=$B$55,MONTH((DATE($B$55,$A$55,1)-WEEKDAY(DATE($B$55,$A$55,1),2)+1)+20)=$A$55),((DATE($B$55,$A$55,1)-WEEKDAY(DATE($B$55,$A$55,1),2)+1)+20), "")</f>
        <v>42904</v>
      </c>
      <c r="AG53" s="155"/>
      <c r="AH53" s="230">
        <f t="shared" ref="AH53:AH55" si="3">WEEKNUM(AI53,21)</f>
        <v>28</v>
      </c>
      <c r="AI53" s="196">
        <f>IF(AND(YEAR((DATE($B$56,$A$56,1)-WEEKDAY(DATE($B$56,$A$56,1),2)+1)+14)=$B$56,MONTH((DATE($B$56,$A$56,1)-WEEKDAY(DATE($B$56,$A$56,1),2)+1)+14)=$A$56),((DATE($B$56,$A$56,1)-WEEKDAY(DATE($B$56,$A$56,1),2)+1)+14), "")</f>
        <v>42926</v>
      </c>
      <c r="AJ53" s="196">
        <f>IF(AND(YEAR((DATE($B$56,$A$56,1)-WEEKDAY(DATE($B$56,$A$56,1),2)+1)+15)=$B$56,MONTH((DATE($B$56,$A$56,1)-WEEKDAY(DATE($B$56,$A$56,1),2)+1)+15)=$A$56),((DATE($B$56,$A$56,1)-WEEKDAY(DATE($B$56,$A$56,1),2)+1)+15), "")</f>
        <v>42927</v>
      </c>
      <c r="AK53" s="196">
        <f>IF(AND(YEAR((DATE($B$56,$A$56,1)-WEEKDAY(DATE($B$56,$A$56,1),2)+1)+16)=$B$56,MONTH((DATE($B$56,$A$56,1)-WEEKDAY(DATE($B$56,$A$56,1),2)+1)+16)=$A$56),((DATE($B$56,$A$56,1)-WEEKDAY(DATE($B$56,$A$56,1),2)+1)+16), "")</f>
        <v>42928</v>
      </c>
      <c r="AL53" s="196">
        <f>IF(AND(YEAR((DATE($B$56,$A$56,1)-WEEKDAY(DATE($B$56,$A$56,1),2)+1)+17)=$B$56,MONTH((DATE($B$56,$A$56,1)-WEEKDAY(DATE($B$56,$A$56,1),2)+1)+17)=$A$56),((DATE($B$56,$A$56,1)-WEEKDAY(DATE($B$56,$A$56,1),2)+1)+17), "")</f>
        <v>42929</v>
      </c>
      <c r="AM53" s="196">
        <f>IF(AND(YEAR((DATE($B$56,$A$56,1)-WEEKDAY(DATE($B$56,$A$56,1),2)+1)+18)=$B$56,MONTH((DATE($B$56,$A$56,1)-WEEKDAY(DATE($B$56,$A$56,1),2)+1)+18)=$A$56),((DATE($B$56,$A$56,1)-WEEKDAY(DATE($B$56,$A$56,1),2)+1)+18), "")</f>
        <v>42930</v>
      </c>
      <c r="AN53" s="197">
        <f>IF(AND(YEAR((DATE($B$56,$A$56,1)-WEEKDAY(DATE($B$56,$A$56,1),2)+1)+19)=$B$56,MONTH((DATE($B$56,$A$56,1)-WEEKDAY(DATE($B$56,$A$56,1),2)+1)+19)=$A$56),((DATE($B$56,$A$56,1)-WEEKDAY(DATE($B$56,$A$56,1),2)+1)+19), "")</f>
        <v>42931</v>
      </c>
      <c r="AO53" s="198">
        <f>IF(AND(YEAR((DATE($B$56,$A$56,1)-WEEKDAY(DATE($B$56,$A$56,1),2)+1)+20)=$B$56,MONTH((DATE($B$56,$A$56,1)-WEEKDAY(DATE($B$56,$A$56,1),2)+1)+20)=$A$56),((DATE($B$56,$A$56,1)-WEEKDAY(DATE($B$56,$A$56,1),2)+1)+20), "")</f>
        <v>42932</v>
      </c>
      <c r="AQ53" s="204"/>
      <c r="AR53" s="203"/>
    </row>
    <row r="54" spans="1:44" x14ac:dyDescent="0.25">
      <c r="A54" s="161">
        <f t="shared" ref="A54:A60" si="4">IF(A53=12,1,A53+1)</f>
        <v>5</v>
      </c>
      <c r="B54" s="159">
        <f t="shared" ref="B54:B60" si="5">IF(A53=12,B53+1,B53)</f>
        <v>2017</v>
      </c>
      <c r="C54" s="159"/>
      <c r="D54" s="160"/>
      <c r="F54" s="230">
        <f t="shared" si="0"/>
        <v>16</v>
      </c>
      <c r="G54" s="196">
        <f>IF(AND(YEAR((DATE($B$53,$A$53,1)-WEEKDAY(DATE($B$53,$A$53,1),2)+1)+21)=$B$53,MONTH((DATE($B$53,$A$53,1)-WEEKDAY(DATE($B$53,$A$53,1),2)+1)+21)=$A$53),((DATE($B$53,$A$53,1)-WEEKDAY(DATE($B$53,$A$53,1),2)+1)+21), "")</f>
        <v>42842</v>
      </c>
      <c r="H54" s="196">
        <f>IF(AND(YEAR((DATE($B$53,$A$53,1)-WEEKDAY(DATE($B$53,$A$53,1),2)+1)+22)=$B$53,MONTH((DATE($B$53,$A$53,1)-WEEKDAY(DATE($B$53,$A$53,1),2)+1)+22)=$A$53),((DATE($B$53,$A$53,1)-WEEKDAY(DATE($B$53,$A$53,1),2)+1)+22), "")</f>
        <v>42843</v>
      </c>
      <c r="I54" s="196">
        <f>IF(AND(YEAR((DATE($B$53,$A$53,1)-WEEKDAY(DATE($B$53,$A$53,1),2)+1)+23)=$B$53,MONTH((DATE($B$53,$A$53,1)-WEEKDAY(DATE($B$53,$A$53,1),2)+1)+23)=$A$53),((DATE($B$53,$A$53,1)-WEEKDAY(DATE($B$53,$A$53,1),2)+1)+23), "")</f>
        <v>42844</v>
      </c>
      <c r="J54" s="196">
        <f>IF(AND(YEAR((DATE($B$53,$A$53,1)-WEEKDAY(DATE($B$53,$A$53,1),2)+1)+24)=$B$53,MONTH((DATE($B$53,$A$53,1)-WEEKDAY(DATE($B$53,$A$53,1),2)+1)+24)=$A$53),((DATE($B$53,$A$53,1)-WEEKDAY(DATE($B$53,$A$53,1),2)+1)+24), "")</f>
        <v>42845</v>
      </c>
      <c r="K54" s="196">
        <f>IF(AND(YEAR((DATE($B$53,$A$53,1)-WEEKDAY(DATE($B$53,$A$53,1),2)+1)+25)=$B$53,MONTH((DATE($B$53,$A$53,1)-WEEKDAY(DATE($B$53,$A$53,1),2)+1)+25)=$A$53),((DATE($B$53,$A$53,1)-WEEKDAY(DATE($B$53,$A$53,1),2)+1)+25), "")</f>
        <v>42846</v>
      </c>
      <c r="L54" s="197">
        <f>IF(AND(YEAR((DATE($B$53,$A$53,1)-WEEKDAY(DATE($B$53,$A$53,1),2)+1)+26)=$B$53,MONTH((DATE($B$53,$A$53,1)-WEEKDAY(DATE($B$53,$A$53,1),2)+1)+26)=$A$53),((DATE($B$53,$A$53,1)-WEEKDAY(DATE($B$53,$A$53,1),2)+1)+26), "")</f>
        <v>42847</v>
      </c>
      <c r="M54" s="198">
        <f>IF(AND(YEAR((DATE($B$53,$A$53,1)-WEEKDAY(DATE($B$53,$A$53,1),2)+1)+27)=$B$53,MONTH((DATE($B$53,$A$53,1)-WEEKDAY(DATE($B$53,$A$53,1),2)+1)+27)=$A$53),((DATE($B$53,$A$53,1)-WEEKDAY(DATE($B$53,$A$53,1),2)+1)+27), "")</f>
        <v>42848</v>
      </c>
      <c r="N54" s="155"/>
      <c r="O54" s="230">
        <f t="shared" si="1"/>
        <v>21</v>
      </c>
      <c r="P54" s="196">
        <f>IF(AND(YEAR((DATE($B$54,$A$54,1)-WEEKDAY(DATE($B$54,$A$54,1),2)+1)+21)=$B$54,MONTH((DATE($B$54,$A$54,1)-WEEKDAY(DATE($B$54,$A$54,1),2)+1)+21)=$A$54),((DATE($B$54,$A$54,1)-WEEKDAY(DATE($B$54,$A$54,1),2)+1)+21), "")</f>
        <v>42877</v>
      </c>
      <c r="Q54" s="196">
        <f>IF(AND(YEAR((DATE($B$54,$A$54,1)-WEEKDAY(DATE($B$54,$A$54,1),2)+1)+22)=$B$54,MONTH((DATE($B$54,$A$54,1)-WEEKDAY(DATE($B$54,$A$54,1),2)+1)+22)=$A$54),((DATE($B$54,$A$54,1)-WEEKDAY(DATE($B$54,$A$54,1),2)+1)+22), "")</f>
        <v>42878</v>
      </c>
      <c r="R54" s="196">
        <f>IF(AND(YEAR((DATE($B$54,$A$54,1)-WEEKDAY(DATE($B$54,$A$54,1),2)+1)+23)=$B$54,MONTH((DATE($B$54,$A$54,1)-WEEKDAY(DATE($B$54,$A$54,1),2)+1)+23)=$A$54),((DATE($B$54,$A$54,1)-WEEKDAY(DATE($B$54,$A$54,1),2)+1)+23), "")</f>
        <v>42879</v>
      </c>
      <c r="S54" s="196">
        <f>IF(AND(YEAR((DATE($B$54,$A$54,1)-WEEKDAY(DATE($B$54,$A$54,1),2)+1)+24)=$B$54,MONTH((DATE($B$54,$A$54,1)-WEEKDAY(DATE($B$54,$A$54,1),2)+1)+24)=$A$54),((DATE($B$54,$A$54,1)-WEEKDAY(DATE($B$54,$A$54,1),2)+1)+24), "")</f>
        <v>42880</v>
      </c>
      <c r="T54" s="196">
        <f>IF(AND(YEAR((DATE($B$54,$A$54,1)-WEEKDAY(DATE($B$54,$A$54,1),2)+1)+25)=$B$54,MONTH((DATE($B$54,$A$54,1)-WEEKDAY(DATE($B$54,$A$54,1),2)+1)+25)=$A$54),((DATE($B$54,$A$54,1)-WEEKDAY(DATE($B$54,$A$54,1),2)+1)+25), "")</f>
        <v>42881</v>
      </c>
      <c r="U54" s="221">
        <f>IF(AND(YEAR((DATE($B$54,$A$54,1)-WEEKDAY(DATE($B$54,$A$54,1),2)+1)+26)=$B$54,MONTH((DATE($B$54,$A$54,1)-WEEKDAY(DATE($B$54,$A$54,1),2)+1)+26)=$A$54),((DATE($B$54,$A$54,1)-WEEKDAY(DATE($B$54,$A$54,1),2)+1)+26), "")</f>
        <v>42882</v>
      </c>
      <c r="V54" s="221"/>
      <c r="W54" s="198">
        <f>IF(AND(YEAR((DATE($B$54,$A$54,1)-WEEKDAY(DATE($B$54,$A$54,1),2)+1)+27)=$B$54,MONTH((DATE($B$54,$A$54,1)-WEEKDAY(DATE($B$54,$A$54,1),2)+1)+27)=$A$54),((DATE($B$54,$A$54,1)-WEEKDAY(DATE($B$54,$A$54,1),2)+1)+27), "")</f>
        <v>42883</v>
      </c>
      <c r="X54" s="155"/>
      <c r="Y54" s="230">
        <f t="shared" si="2"/>
        <v>25</v>
      </c>
      <c r="Z54" s="196">
        <f>IF(AND(YEAR((DATE($B$55,$A$55,1)-WEEKDAY(DATE($B$55,$A$55,1),2)+1)+21)=$B$55,MONTH((DATE($B$55,$A$55,1)-WEEKDAY(DATE($B$55,$A$55,1),2)+1)+21)=$A$55),((DATE($B$55,$A$55,1)-WEEKDAY(DATE($B$55,$A$55,1),2)+1)+21), "")</f>
        <v>42905</v>
      </c>
      <c r="AA54" s="196">
        <f>IF(AND(YEAR((DATE($B$55,$A$55,1)-WEEKDAY(DATE($B$55,$A$55,1),2)+1)+22)=$B$55,MONTH((DATE($B$55,$A$55,1)-WEEKDAY(DATE($B$55,$A$55,1),2)+1)+22)=$A$55),((DATE($B$55,$A$55,1)-WEEKDAY(DATE($B$55,$A$55,1),2)+1)+22), "")</f>
        <v>42906</v>
      </c>
      <c r="AB54" s="196">
        <f>IF(AND(YEAR((DATE($B$55,$A$55,1)-WEEKDAY(DATE($B$55,$A$55,1),2)+1)+23)=$B$55,MONTH((DATE($B$55,$A$55,1)-WEEKDAY(DATE($B$55,$A$55,1),2)+1)+23)=$A$55),((DATE($B$55,$A$55,1)-WEEKDAY(DATE($B$55,$A$55,1),2)+1)+23), "")</f>
        <v>42907</v>
      </c>
      <c r="AC54" s="196">
        <f>IF(AND(YEAR((DATE($B$55,$A$55,1)-WEEKDAY(DATE($B$55,$A$55,1),2)+1)+24)=$B$55,MONTH((DATE($B$55,$A$55,1)-WEEKDAY(DATE($B$55,$A$55,1),2)+1)+24)=$A$55),((DATE($B$55,$A$55,1)-WEEKDAY(DATE($B$55,$A$55,1),2)+1)+24), "")</f>
        <v>42908</v>
      </c>
      <c r="AD54" s="196">
        <f>IF(AND(YEAR((DATE($B$55,$A$55,1)-WEEKDAY(DATE($B$55,$A$55,1),2)+1)+25)=$B$55,MONTH((DATE($B$55,$A$55,1)-WEEKDAY(DATE($B$55,$A$55,1),2)+1)+25)=$A$55),((DATE($B$55,$A$55,1)-WEEKDAY(DATE($B$55,$A$55,1),2)+1)+25), "")</f>
        <v>42909</v>
      </c>
      <c r="AE54" s="197">
        <f>IF(AND(YEAR((DATE($B$55,$A$55,1)-WEEKDAY(DATE($B$55,$A$55,1),2)+1)+26)=$B$55,MONTH((DATE($B$55,$A$55,1)-WEEKDAY(DATE($B$55,$A$55,1),2)+1)+26)=$A$55),((DATE($B$55,$A$55,1)-WEEKDAY(DATE($B$55,$A$55,1),2)+1)+26), "")</f>
        <v>42910</v>
      </c>
      <c r="AF54" s="198">
        <f>IF(AND(YEAR((DATE($B$55,$A$55,1)-WEEKDAY(DATE($B$55,$A$55,1),2)+1)+27)=$B$55,MONTH((DATE($B$55,$A$55,1)-WEEKDAY(DATE($B$55,$A$55,1),2)+1)+27)=$A$55),((DATE($B$55,$A$55,1)-WEEKDAY(DATE($B$55,$A$55,1),2)+1)+27), "")</f>
        <v>42911</v>
      </c>
      <c r="AG54" s="155"/>
      <c r="AH54" s="230">
        <f t="shared" si="3"/>
        <v>29</v>
      </c>
      <c r="AI54" s="196">
        <f>IF(AND(YEAR((DATE($B$56,$A$56,1)-WEEKDAY(DATE($B$56,$A$56,1),2)+1)+21)=$B$56,MONTH((DATE($B$56,$A$56,1)-WEEKDAY(DATE($B$56,$A$56,1),2)+1)+21)=$A$56),((DATE($B$56,$A$56,1)-WEEKDAY(DATE($B$56,$A$56,1),2)+1)+21), "")</f>
        <v>42933</v>
      </c>
      <c r="AJ54" s="196">
        <f>IF(AND(YEAR((DATE($B$56,$A$56,1)-WEEKDAY(DATE($B$56,$A$56,1),2)+1)+22)=$B$56,MONTH((DATE($B$56,$A$56,1)-WEEKDAY(DATE($B$56,$A$56,1),2)+1)+22)=$A$56),((DATE($B$56,$A$56,1)-WEEKDAY(DATE($B$56,$A$56,1),2)+1)+22), "")</f>
        <v>42934</v>
      </c>
      <c r="AK54" s="196">
        <f>IF(AND(YEAR((DATE($B$56,$A$56,1)-WEEKDAY(DATE($B$56,$A$56,1),2)+1)+23)=$B$56,MONTH((DATE($B$56,$A$56,1)-WEEKDAY(DATE($B$56,$A$56,1),2)+1)+23)=$A$56),((DATE($B$56,$A$56,1)-WEEKDAY(DATE($B$56,$A$56,1),2)+1)+23), "")</f>
        <v>42935</v>
      </c>
      <c r="AL54" s="196">
        <f>IF(AND(YEAR((DATE($B$56,$A$56,1)-WEEKDAY(DATE($B$56,$A$56,1),2)+1)+24)=$B$56,MONTH((DATE($B$56,$A$56,1)-WEEKDAY(DATE($B$56,$A$56,1),2)+1)+24)=$A$56),((DATE($B$56,$A$56,1)-WEEKDAY(DATE($B$56,$A$56,1),2)+1)+24), "")</f>
        <v>42936</v>
      </c>
      <c r="AM54" s="196">
        <f>IF(AND(YEAR((DATE($B$56,$A$56,1)-WEEKDAY(DATE($B$56,$A$56,1),2)+1)+25)=$B$56,MONTH((DATE($B$56,$A$56,1)-WEEKDAY(DATE($B$56,$A$56,1),2)+1)+25)=$A$56),((DATE($B$56,$A$56,1)-WEEKDAY(DATE($B$56,$A$56,1),2)+1)+25), "")</f>
        <v>42937</v>
      </c>
      <c r="AN54" s="197">
        <f>IF(AND(YEAR((DATE($B$56,$A$56,1)-WEEKDAY(DATE($B$56,$A$56,1),2)+1)+26)=$B$56,MONTH((DATE($B$56,$A$56,1)-WEEKDAY(DATE($B$56,$A$56,1),2)+1)+26)=$A$56),((DATE($B$56,$A$56,1)-WEEKDAY(DATE($B$56,$A$56,1),2)+1)+26), "")</f>
        <v>42938</v>
      </c>
      <c r="AO54" s="198">
        <f>IF(AND(YEAR((DATE($B$56,$A$56,1)-WEEKDAY(DATE($B$56,$A$56,1),2)+1)+27)=$B$56,MONTH((DATE($B$56,$A$56,1)-WEEKDAY(DATE($B$56,$A$56,1),2)+1)+27)=$A$56),((DATE($B$56,$A$56,1)-WEEKDAY(DATE($B$56,$A$56,1),2)+1)+27), "")</f>
        <v>42939</v>
      </c>
      <c r="AQ54" s="202" t="s">
        <v>175</v>
      </c>
      <c r="AR54" s="203">
        <f>Q42-(AX26-1)</f>
        <v>75</v>
      </c>
    </row>
    <row r="55" spans="1:44" x14ac:dyDescent="0.25">
      <c r="A55" s="161">
        <f t="shared" si="4"/>
        <v>6</v>
      </c>
      <c r="B55" s="159">
        <f t="shared" si="5"/>
        <v>2017</v>
      </c>
      <c r="C55" s="159"/>
      <c r="D55" s="160"/>
      <c r="F55" s="230">
        <f t="shared" si="0"/>
        <v>17</v>
      </c>
      <c r="G55" s="196">
        <f>IF(AND(YEAR((DATE($B$53,$A$53,1)-WEEKDAY(DATE($B$53,$A$53,1),2)+1)+28)=$B$53,MONTH((DATE($B$53,$A$53,1)-WEEKDAY(DATE($B$53,$A$53,1),2)+1)+28)=$A$53),((DATE($B$53,$A$53,1)-WEEKDAY(DATE($B$53,$A$53,1),2)+1)+28), "")</f>
        <v>42849</v>
      </c>
      <c r="H55" s="196">
        <f>IF(AND(YEAR((DATE($B$53,$A$53,1)-WEEKDAY(DATE($B$53,$A$53,1),2)+1)+29)=$B$53,MONTH((DATE($B$53,$A$53,1)-WEEKDAY(DATE($B$53,$A$53,1),2)+1)+29)=$A$53),((DATE($B$53,$A$53,1)-WEEKDAY(DATE($B$53,$A$53,1),2)+1)+29), "")</f>
        <v>42850</v>
      </c>
      <c r="I55" s="196">
        <f>IF(AND(YEAR((DATE($B$53,$A$53,1)-WEEKDAY(DATE($B$53,$A$53,1),2)+1)+30)=$B$53,MONTH((DATE($B$53,$A$53,1)-WEEKDAY(DATE($B$53,$A$53,1),2)+1)+30)=$A$53),((DATE($B$53,$A$53,1)-WEEKDAY(DATE($B$53,$A$53,1),2)+1)+30), "")</f>
        <v>42851</v>
      </c>
      <c r="J55" s="196">
        <f>IF(AND(YEAR((DATE($B$53,$A$53,1)-WEEKDAY(DATE($B$53,$A$53,1),2)+1)+31)=$B$53,MONTH((DATE($B$53,$A$53,1)-WEEKDAY(DATE($B$53,$A$53,1),2)+1)+31)=$A$53),((DATE($B$53,$A$53,1)-WEEKDAY(DATE($B$53,$A$53,1),2)+1)+31), "")</f>
        <v>42852</v>
      </c>
      <c r="K55" s="196">
        <f>IF(AND(YEAR((DATE($B$53,$A$53,1)-WEEKDAY(DATE($B$53,$A$53,1),2)+1)+32)=$B$53,MONTH((DATE($B$53,$A$53,1)-WEEKDAY(DATE($B$53,$A$53,1),2)+1)+32)=$A$53),((DATE($B$53,$A$53,1)-WEEKDAY(DATE($B$53,$A$53,1),2)+1)+32), "")</f>
        <v>42853</v>
      </c>
      <c r="L55" s="197">
        <f>IF(AND(YEAR((DATE($B$53,$A$53,1)-WEEKDAY(DATE($B$53,$A$53,1),2)+1)+33)=$B$53,MONTH((DATE($B$53,$A$53,1)-WEEKDAY(DATE($B$53,$A$53,1),2)+1)+33)=$A$53),((DATE($B$53,$A$53,1)-WEEKDAY(DATE($B$53,$A$53,1),2)+1)+33), "")</f>
        <v>42854</v>
      </c>
      <c r="M55" s="198">
        <f>IF(AND(YEAR((DATE($B$53,$A$53,1)-WEEKDAY(DATE($B$53,$A$53,1),2)+1)+34)=$B$53,MONTH((DATE($B$53,$A$53,1)-WEEKDAY(DATE($B$53,$A$53,1),2)+1)+34)=$A$53),((DATE($B$53,$A$53,1)-WEEKDAY(DATE($B$53,$A$53,1),2)+1)+34), "")</f>
        <v>42855</v>
      </c>
      <c r="N55" s="155"/>
      <c r="O55" s="230">
        <f t="shared" si="1"/>
        <v>22</v>
      </c>
      <c r="P55" s="196">
        <f>IF(AND(YEAR((DATE($B$54,$A$54,1)-WEEKDAY(DATE($B$54,$A$54,1),2)+1)+28)=$B$54,MONTH((DATE($B$54,$A$54,1)-WEEKDAY(DATE($B$54,$A$54,1),2)+1)+28)=$A$54),((DATE($B$54,$A$54,1)-WEEKDAY(DATE($B$54,$A$54,1),2)+1)+28), "")</f>
        <v>42884</v>
      </c>
      <c r="Q55" s="196">
        <f>IF(AND(YEAR((DATE($B$54,$A$54,1)-WEEKDAY(DATE($B$54,$A$54,1),2)+1)+29)=$B$54,MONTH((DATE($B$54,$A$54,1)-WEEKDAY(DATE($B$54,$A$54,1),2)+1)+29)=$A$54),((DATE($B$54,$A$54,1)-WEEKDAY(DATE($B$54,$A$54,1),2)+1)+29), "")</f>
        <v>42885</v>
      </c>
      <c r="R55" s="196">
        <f>IF(AND(YEAR((DATE($B$54,$A$54,1)-WEEKDAY(DATE($B$54,$A$54,1),2)+1)+30)=$B$54,MONTH((DATE($B$54,$A$54,1)-WEEKDAY(DATE($B$54,$A$54,1),2)+1)+30)=$A$54),((DATE($B$54,$A$54,1)-WEEKDAY(DATE($B$54,$A$54,1),2)+1)+30), "")</f>
        <v>42886</v>
      </c>
      <c r="S55" s="196" t="str">
        <f>IF(AND(YEAR((DATE($B$54,$A$54,1)-WEEKDAY(DATE($B$54,$A$54,1),2)+1)+31)=$B$54,MONTH((DATE($B$54,$A$54,1)-WEEKDAY(DATE($B$54,$A$54,1),2)+1)+31)=$A$54),((DATE($B$54,$A$54,1)-WEEKDAY(DATE($B$54,$A$54,1),2)+1)+31), "")</f>
        <v/>
      </c>
      <c r="T55" s="196" t="str">
        <f>IF(AND(YEAR((DATE($B$54,$A$54,1)-WEEKDAY(DATE($B$54,$A$54,1),2)+1)+32)=$B$54,MONTH((DATE($B$54,$A$54,1)-WEEKDAY(DATE($B$54,$A$54,1),2)+1)+32)=$A$54),((DATE($B$54,$A$54,1)-WEEKDAY(DATE($B$54,$A$54,1),2)+1)+32), "")</f>
        <v/>
      </c>
      <c r="U55" s="221" t="str">
        <f>IF(AND(YEAR((DATE($B$54,$A$54,1)-WEEKDAY(DATE($B$54,$A$54,1),2)+1)+33)=$B$54,MONTH((DATE($B$54,$A$54,1)-WEEKDAY(DATE($B$54,$A$54,1),2)+1)+33)=$A$54),((DATE($B$54,$A$54,1)-WEEKDAY(DATE($B$54,$A$54,1),2)+1)+33), "")</f>
        <v/>
      </c>
      <c r="V55" s="221"/>
      <c r="W55" s="198" t="str">
        <f>IF(AND(YEAR((DATE($B$54,$A$54,1)-WEEKDAY(DATE($B$54,$A$54,1),2)+1)+34)=$B$54,MONTH((DATE($B$54,$A$54,1)-WEEKDAY(DATE($B$54,$A$54,1),2)+1)+34)=$A$54),((DATE($B$54,$A$54,1)-WEEKDAY(DATE($B$54,$A$54,1),2)+1)+34), "")</f>
        <v/>
      </c>
      <c r="X55" s="155"/>
      <c r="Y55" s="230">
        <f t="shared" si="2"/>
        <v>26</v>
      </c>
      <c r="Z55" s="196">
        <f>IF(AND(YEAR((DATE($B$55,$A$55,1)-WEEKDAY(DATE($B$55,$A$55,1),2)+1)+28)=$B$55,MONTH((DATE($B$55,$A$55,1)-WEEKDAY(DATE($B$55,$A$55,1),2)+1)+28)=$A$55),((DATE($B$55,$A$55,1)-WEEKDAY(DATE($B$55,$A$55,1),2)+1)+28), "")</f>
        <v>42912</v>
      </c>
      <c r="AA55" s="196">
        <f>IF(AND(YEAR((DATE($B$55,$A$55,1)-WEEKDAY(DATE($B$55,$A$55,1),2)+1)+29)=$B$55,MONTH((DATE($B$55,$A$55,1)-WEEKDAY(DATE($B$55,$A$55,1),2)+1)+29)=$A$55),((DATE($B$55,$A$55,1)-WEEKDAY(DATE($B$55,$A$55,1),2)+1)+29), "")</f>
        <v>42913</v>
      </c>
      <c r="AB55" s="196">
        <f>IF(AND(YEAR((DATE($B$55,$A$55,1)-WEEKDAY(DATE($B$55,$A$55,1),2)+1)+30)=$B$55,MONTH((DATE($B$55,$A$55,1)-WEEKDAY(DATE($B$55,$A$55,1),2)+1)+30)=$A$55),((DATE($B$55,$A$55,1)-WEEKDAY(DATE($B$55,$A$55,1),2)+1)+30), "")</f>
        <v>42914</v>
      </c>
      <c r="AC55" s="196">
        <f>IF(AND(YEAR((DATE($B$55,$A$55,1)-WEEKDAY(DATE($B$55,$A$55,1),2)+1)+31)=$B$55,MONTH((DATE($B$55,$A$55,1)-WEEKDAY(DATE($B$55,$A$55,1),2)+1)+31)=$A$55),((DATE($B$55,$A$55,1)-WEEKDAY(DATE($B$55,$A$55,1),2)+1)+31), "")</f>
        <v>42915</v>
      </c>
      <c r="AD55" s="196">
        <f>IF(AND(YEAR((DATE($B$55,$A$55,1)-WEEKDAY(DATE($B$55,$A$55,1),2)+1)+32)=$B$55,MONTH((DATE($B$55,$A$55,1)-WEEKDAY(DATE($B$55,$A$55,1),2)+1)+32)=$A$55),((DATE($B$55,$A$55,1)-WEEKDAY(DATE($B$55,$A$55,1),2)+1)+32), "")</f>
        <v>42916</v>
      </c>
      <c r="AE55" s="197" t="str">
        <f>IF(AND(YEAR((DATE($B$55,$A$55,1)-WEEKDAY(DATE($B$55,$A$55,1),2)+1)+33)=$B$55,MONTH((DATE($B$55,$A$55,1)-WEEKDAY(DATE($B$55,$A$55,1),2)+1)+33)=$A$55),((DATE($B$55,$A$55,1)-WEEKDAY(DATE($B$55,$A$55,1),2)+1)+33), "")</f>
        <v/>
      </c>
      <c r="AF55" s="198" t="str">
        <f>IF(AND(YEAR((DATE($B$55,$A$55,1)-WEEKDAY(DATE($B$55,$A$55,1),2)+1)+34)=$B$55,MONTH((DATE($B$55,$A$55,1)-WEEKDAY(DATE($B$55,$A$55,1),2)+1)+34)=$A$55),((DATE($B$55,$A$55,1)-WEEKDAY(DATE($B$55,$A$55,1),2)+1)+34), "")</f>
        <v/>
      </c>
      <c r="AG55" s="155"/>
      <c r="AH55" s="230">
        <f t="shared" si="3"/>
        <v>30</v>
      </c>
      <c r="AI55" s="196">
        <f>IF(AND(YEAR((DATE($B$56,$A$56,1)-WEEKDAY(DATE($B$56,$A$56,1),2)+1)+28)=$B$56,MONTH((DATE($B$56,$A$56,1)-WEEKDAY(DATE($B$56,$A$56,1),2)+1)+28)=$A$56),((DATE($B$56,$A$56,1)-WEEKDAY(DATE($B$56,$A$56,1),2)+1)+28), "")</f>
        <v>42940</v>
      </c>
      <c r="AJ55" s="196">
        <f>IF(AND(YEAR((DATE($B$56,$A$56,1)-WEEKDAY(DATE($B$56,$A$56,1),2)+1)+29)=$B$56,MONTH((DATE($B$56,$A$56,1)-WEEKDAY(DATE($B$56,$A$56,1),2)+1)+29)=$A$56),((DATE($B$56,$A$56,1)-WEEKDAY(DATE($B$56,$A$56,1),2)+1)+29), "")</f>
        <v>42941</v>
      </c>
      <c r="AK55" s="196">
        <f>IF(AND(YEAR((DATE($B$56,$A$56,1)-WEEKDAY(DATE($B$56,$A$56,1),2)+1)+30)=$B$56,MONTH((DATE($B$56,$A$56,1)-WEEKDAY(DATE($B$56,$A$56,1),2)+1)+30)=$A$56),((DATE($B$56,$A$56,1)-WEEKDAY(DATE($B$56,$A$56,1),2)+1)+30), "")</f>
        <v>42942</v>
      </c>
      <c r="AL55" s="196">
        <f>IF(AND(YEAR((DATE($B$56,$A$56,1)-WEEKDAY(DATE($B$56,$A$56,1),2)+1)+31)=$B$56,MONTH((DATE($B$56,$A$56,1)-WEEKDAY(DATE($B$56,$A$56,1),2)+1)+31)=$A$56),((DATE($B$56,$A$56,1)-WEEKDAY(DATE($B$56,$A$56,1),2)+1)+31), "")</f>
        <v>42943</v>
      </c>
      <c r="AM55" s="196">
        <f>IF(AND(YEAR((DATE($B$56,$A$56,1)-WEEKDAY(DATE($B$56,$A$56,1),2)+1)+32)=$B$56,MONTH((DATE($B$56,$A$56,1)-WEEKDAY(DATE($B$56,$A$56,1),2)+1)+32)=$A$56),((DATE($B$56,$A$56,1)-WEEKDAY(DATE($B$56,$A$56,1),2)+1)+32), "")</f>
        <v>42944</v>
      </c>
      <c r="AN55" s="197">
        <f>IF(AND(YEAR((DATE($B$56,$A$56,1)-WEEKDAY(DATE($B$56,$A$56,1),2)+1)+33)=$B$56,MONTH((DATE($B$56,$A$56,1)-WEEKDAY(DATE($B$56,$A$56,1),2)+1)+33)=$A$56),((DATE($B$56,$A$56,1)-WEEKDAY(DATE($B$56,$A$56,1),2)+1)+33), "")</f>
        <v>42945</v>
      </c>
      <c r="AO55" s="198">
        <f>IF(AND(YEAR((DATE($B$56,$A$56,1)-WEEKDAY(DATE($B$56,$A$56,1),2)+1)+34)=$B$56,MONTH((DATE($B$56,$A$56,1)-WEEKDAY(DATE($B$56,$A$56,1),2)+1)+34)=$A$56),((DATE($B$56,$A$56,1)-WEEKDAY(DATE($B$56,$A$56,1),2)+1)+34), "")</f>
        <v>42946</v>
      </c>
      <c r="AQ55" s="202"/>
      <c r="AR55" s="203"/>
    </row>
    <row r="56" spans="1:44" ht="15.75" thickBot="1" x14ac:dyDescent="0.3">
      <c r="A56" s="161">
        <f t="shared" si="4"/>
        <v>7</v>
      </c>
      <c r="B56" s="159">
        <f t="shared" si="5"/>
        <v>2017</v>
      </c>
      <c r="C56" s="159"/>
      <c r="D56" s="160"/>
      <c r="F56" s="230" t="str">
        <f>IF(G56="","",WEEKNUM(G56,21))</f>
        <v/>
      </c>
      <c r="G56" s="199" t="str">
        <f>IF(AND(YEAR((DATE($B$53,$A$53,1)-WEEKDAY(DATE($B$53,$A$53,1),2)+1)+35)=$B$53,MONTH((DATE($B$53,$A$53,1)-WEEKDAY(DATE($B$53,$A$53,1),2)+1)+35)=$A$53),((DATE($B$53,$A$53,1)-WEEKDAY(DATE($B$53,$A$53,1),2)+1)+35), "")</f>
        <v/>
      </c>
      <c r="H56" s="199" t="str">
        <f>IF(AND(YEAR((DATE($B$53,$A$53,1)-WEEKDAY(DATE($B$53,$A$53,1),2)+1)+36)=$B$53,MONTH((DATE($B$53,$A$53,1)-WEEKDAY(DATE($B$53,$A$53,1),2)+1)+36)=$A$53),((DATE($B$53,$A$53,1)-WEEKDAY(DATE($B$53,$A$53,1),2)+1)+36), "")</f>
        <v/>
      </c>
      <c r="I56" s="199" t="str">
        <f>IF(AND(YEAR((DATE($B$53,$A$53,1)-WEEKDAY(DATE($B$53,$A$53,1),2)+1)+37)=$B$53,MONTH((DATE($B$53,$A$53,1)-WEEKDAY(DATE($B$53,$A$53,1),2)+1)+37)=$A$53),((DATE($B$53,$A$53,1)-WEEKDAY(DATE($B$53,$A$53,1),2)+1)+37), "")</f>
        <v/>
      </c>
      <c r="J56" s="199" t="str">
        <f>IF(AND(YEAR((DATE($B$53,$A$53,1)-WEEKDAY(DATE($B$53,$A$53,1),2)+1)+38)=$B$53,MONTH((DATE($B$53,$A$53,1)-WEEKDAY(DATE($B$53,$A$53,1),2)+1)+38)=$A$53),((DATE($B$53,$A$53,1)-WEEKDAY(DATE($B$53,$A$53,1),2)+1)+38), "")</f>
        <v/>
      </c>
      <c r="K56" s="199" t="str">
        <f>IF(AND(YEAR((DATE($B$53,$A$53,1)-WEEKDAY(DATE($B$53,$A$53,1),2)+1)+39)=$B$53,MONTH((DATE($B$53,$A$53,1)-WEEKDAY(DATE($B$53,$A$53,1),2)+1)+39)=$A$53),((DATE($B$53,$A$53,1)-WEEKDAY(DATE($B$53,$A$53,1),2)+1)+39), "")</f>
        <v/>
      </c>
      <c r="L56" s="200" t="str">
        <f>IF(AND(YEAR((DATE($B$53,$A$53,1)-WEEKDAY(DATE($B$53,$A$53,1),2)+1)+40)=$B$53,MONTH((DATE($B$53,$A$53,1)-WEEKDAY(DATE($B$53,$A$53,1),2)+1)+40)=$A$53),((DATE($B$53,$A$53,1)-WEEKDAY(DATE($B$53,$A$53,1),2)+1)+40), "")</f>
        <v/>
      </c>
      <c r="M56" s="201" t="str">
        <f>IF(AND(YEAR((DATE($B$53,$A$53,1)-WEEKDAY(DATE($B$53,$A$53,1),2)+1)+41)=$B$53,MONTH((DATE($B$53,$A$53,1)-WEEKDAY(DATE($B$53,$A$53,1),2)+1)+41)=$A$53),((DATE($B$53,$A$53,1)-WEEKDAY(DATE($B$53,$A$53,1),2)+1)+41), "")</f>
        <v/>
      </c>
      <c r="N56" s="155"/>
      <c r="O56" s="230" t="str">
        <f>IF(P56="","",WEEKNUM(P56,21))</f>
        <v/>
      </c>
      <c r="P56" s="199" t="str">
        <f>IF(AND(YEAR((DATE($B$54,$A$54,1)-WEEKDAY(DATE($B$54,$A$54,1),2)+1)+35)=$B$54,MONTH((DATE($B$54,$A$54,1)-WEEKDAY(DATE($B$54,$A$54,1),2)+1)+35)=$A$54),((DATE($B$54,$A$54,1)-WEEKDAY(DATE($B$54,$A$54,1),2)+1)+35), "")</f>
        <v/>
      </c>
      <c r="Q56" s="199" t="str">
        <f>IF(AND(YEAR((DATE($B$54,$A$54,1)-WEEKDAY(DATE($B$54,$A$54,1),2)+1)+36)=$B$54,MONTH((DATE($B$54,$A$54,1)-WEEKDAY(DATE($B$54,$A$54,1),2)+1)+36)=$A$54),((DATE($B$54,$A$54,1)-WEEKDAY(DATE($B$54,$A$54,1),2)+1)+36), "")</f>
        <v/>
      </c>
      <c r="R56" s="199" t="str">
        <f>IF(AND(YEAR((DATE($B$54,$A$54,1)-WEEKDAY(DATE($B$54,$A$54,1),2)+1)+37)=$B$54,MONTH((DATE($B$54,$A$54,1)-WEEKDAY(DATE($B$54,$A$54,1),2)+1)+37)=$A$54),((DATE($B$54,$A$54,1)-WEEKDAY(DATE($B$54,$A$54,1),2)+1)+37), "")</f>
        <v/>
      </c>
      <c r="S56" s="199" t="str">
        <f>IF(AND(YEAR((DATE($B$54,$A$54,1)-WEEKDAY(DATE($B$54,$A$54,1),2)+1)+38)=$B$54,MONTH((DATE($B$54,$A$54,1)-WEEKDAY(DATE($B$54,$A$54,1),2)+1)+38)=$A$54),((DATE($B$54,$A$54,1)-WEEKDAY(DATE($B$54,$A$54,1),2)+1)+38), "")</f>
        <v/>
      </c>
      <c r="T56" s="199" t="str">
        <f>IF(AND(YEAR((DATE($B$54,$A$54,1)-WEEKDAY(DATE($B$54,$A$54,1),2)+1)+39)=$B$54,MONTH((DATE($B$54,$A$54,1)-WEEKDAY(DATE($B$54,$A$54,1),2)+1)+39)=$A$54),((DATE($B$54,$A$54,1)-WEEKDAY(DATE($B$54,$A$54,1),2)+1)+39), "")</f>
        <v/>
      </c>
      <c r="U56" s="223" t="str">
        <f>IF(AND(YEAR((DATE($B$54,$A$54,1)-WEEKDAY(DATE($B$54,$A$54,1),2)+1)+40)=$B$54,MONTH((DATE($B$54,$A$54,1)-WEEKDAY(DATE($B$54,$A$54,1),2)+1)+40)=$A$54),((DATE($B$54,$A$54,1)-WEEKDAY(DATE($B$54,$A$54,1),2)+1)+40), "")</f>
        <v/>
      </c>
      <c r="V56" s="223"/>
      <c r="W56" s="201" t="str">
        <f>IF(AND(YEAR((DATE($B$54,$A$54,1)-WEEKDAY(DATE($B$54,$A$54,1),2)+1)+41)=$B$54,MONTH((DATE($B$54,$A$54,1)-WEEKDAY(DATE($B$54,$A$54,1),2)+1)+41)=$A$54),((DATE($B$54,$A$54,1)-WEEKDAY(DATE($B$54,$A$54,1),2)+1)+41), "")</f>
        <v/>
      </c>
      <c r="X56" s="155"/>
      <c r="Y56" s="230" t="str">
        <f>IF(Z56="","",WEEKNUM(Z56,21))</f>
        <v/>
      </c>
      <c r="Z56" s="199" t="str">
        <f>IF(AND(YEAR((DATE($B$55,$A$55,1)-WEEKDAY(DATE($B$55,$A$55,1),2)+1)+35)=$B$55,MONTH((DATE($B$55,$A$55,1)-WEEKDAY(DATE($B$55,$A$55,1),2)+1)+35)=$A$55),((DATE($B$55,$A$55,1)-WEEKDAY(DATE($B$55,$A$55,1),2)+1)+35), "")</f>
        <v/>
      </c>
      <c r="AA56" s="199" t="str">
        <f>IF(AND(YEAR((DATE($B$55,$A$55,1)-WEEKDAY(DATE($B$55,$A$55,1),2)+1)+36)=$B$55,MONTH((DATE($B$55,$A$55,1)-WEEKDAY(DATE($B$55,$A$55,1),2)+1)+36)=$A$55),((DATE($B$55,$A$55,1)-WEEKDAY(DATE($B$55,$A$55,1),2)+1)+36), "")</f>
        <v/>
      </c>
      <c r="AB56" s="199" t="str">
        <f>IF(AND(YEAR((DATE($B$55,$A$55,1)-WEEKDAY(DATE($B$55,$A$55,1),2)+1)+37)=$B$55,MONTH((DATE($B$55,$A$55,1)-WEEKDAY(DATE($B$55,$A$55,1),2)+1)+37)=$A$55),((DATE($B$55,$A$55,1)-WEEKDAY(DATE($B$55,$A$55,1),2)+1)+37), "")</f>
        <v/>
      </c>
      <c r="AC56" s="199" t="str">
        <f>IF(AND(YEAR((DATE($B$55,$A$55,1)-WEEKDAY(DATE($B$55,$A$55,1),2)+1)+38)=$B$55,MONTH((DATE($B$55,$A$55,1)-WEEKDAY(DATE($B$55,$A$55,1),2)+1)+38)=$A$55),((DATE($B$55,$A$55,1)-WEEKDAY(DATE($B$55,$A$55,1),2)+1)+38), "")</f>
        <v/>
      </c>
      <c r="AD56" s="199" t="str">
        <f>IF(AND(YEAR((DATE($B$55,$A$55,1)-WEEKDAY(DATE($B$55,$A$55,1),2)+1)+39)=$B$55,MONTH((DATE($B$55,$A$55,1)-WEEKDAY(DATE($B$55,$A$55,1),2)+1)+39)=$A$55),((DATE($B$55,$A$55,1)-WEEKDAY(DATE($B$55,$A$55,1),2)+1)+39), "")</f>
        <v/>
      </c>
      <c r="AE56" s="200" t="str">
        <f>IF(AND(YEAR((DATE($B$55,$A$55,1)-WEEKDAY(DATE($B$55,$A$55,1),2)+1)+40)=$B$55,MONTH((DATE($B$55,$A$55,1)-WEEKDAY(DATE($B$55,$A$55,1),2)+1)+40)=$A$55),((DATE($B$55,$A$55,1)-WEEKDAY(DATE($B$55,$A$55,1),2)+1)+40), "")</f>
        <v/>
      </c>
      <c r="AF56" s="201" t="str">
        <f>IF(AND(YEAR((DATE($B$55,$A$55,1)-WEEKDAY(DATE($B$55,$A$55,1),2)+1)+41)=$B$55,MONTH((DATE($B$55,$A$55,1)-WEEKDAY(DATE($B$55,$A$55,1),2)+1)+41)=$A$55),((DATE($B$55,$A$55,1)-WEEKDAY(DATE($B$55,$A$55,1),2)+1)+41), "")</f>
        <v/>
      </c>
      <c r="AG56" s="155"/>
      <c r="AH56" s="230">
        <f>IF(AI56="","",WEEKNUM(AI56,21))</f>
        <v>31</v>
      </c>
      <c r="AI56" s="199">
        <f>IF(AND(YEAR((DATE($B$56,$A$56,1)-WEEKDAY(DATE($B$56,$A$56,1),2)+1)+35)=$B$56,MONTH((DATE($B$56,$A$56,1)-WEEKDAY(DATE($B$56,$A$56,1),2)+1)+35)=$A$56),((DATE($B$56,$A$56,1)-WEEKDAY(DATE($B$56,$A$56,1),2)+1)+35), "")</f>
        <v>42947</v>
      </c>
      <c r="AJ56" s="199" t="str">
        <f>IF(AND(YEAR((DATE($B$56,$A$56,1)-WEEKDAY(DATE($B$56,$A$56,1),2)+1)+36)=$B$56,MONTH((DATE($B$56,$A$56,1)-WEEKDAY(DATE($B$56,$A$56,1),2)+1)+36)=$A$56),((DATE($B$56,$A$56,1)-WEEKDAY(DATE($B$56,$A$56,1),2)+1)+36), "")</f>
        <v/>
      </c>
      <c r="AK56" s="199" t="str">
        <f>IF(AND(YEAR((DATE($B$56,$A$56,1)-WEEKDAY(DATE($B$56,$A$56,1),2)+1)+37)=$B$56,MONTH((DATE($B$56,$A$56,1)-WEEKDAY(DATE($B$56,$A$56,1),2)+1)+37)=$A$56),((DATE($B$56,$A$56,1)-WEEKDAY(DATE($B$56,$A$56,1),2)+1)+37), "")</f>
        <v/>
      </c>
      <c r="AL56" s="199" t="str">
        <f>IF(AND(YEAR((DATE($B$56,$A$56,1)-WEEKDAY(DATE($B$56,$A$56,1),2)+1)+38)=$B$56,MONTH((DATE($B$56,$A$56,1)-WEEKDAY(DATE($B$56,$A$56,1),2)+1)+38)=$A$56),((DATE($B$56,$A$56,1)-WEEKDAY(DATE($B$56,$A$56,1),2)+1)+38), "")</f>
        <v/>
      </c>
      <c r="AM56" s="199" t="str">
        <f>IF(AND(YEAR((DATE($B$56,$A$56,1)-WEEKDAY(DATE($B$56,$A$56,1),2)+1)+39)=$B$56,MONTH((DATE($B$56,$A$56,1)-WEEKDAY(DATE($B$56,$A$56,1),2)+1)+39)=$A$56),((DATE($B$56,$A$56,1)-WEEKDAY(DATE($B$56,$A$56,1),2)+1)+39), "")</f>
        <v/>
      </c>
      <c r="AN56" s="200" t="str">
        <f>IF(AND(YEAR((DATE($B$56,$A$56,1)-WEEKDAY(DATE($B$56,$A$56,1),2)+1)+40)=$B$56,MONTH((DATE($B$56,$A$56,1)-WEEKDAY(DATE($B$56,$A$56,1),2)+1)+40)=$A$56),((DATE($B$56,$A$56,1)-WEEKDAY(DATE($B$56,$A$56,1),2)+1)+40), "")</f>
        <v/>
      </c>
      <c r="AO56" s="201" t="str">
        <f>IF(AND(YEAR((DATE($B$56,$A$56,1)-WEEKDAY(DATE($B$56,$A$56,1),2)+1)+41)=$B$56,MONTH((DATE($B$56,$A$56,1)-WEEKDAY(DATE($B$56,$A$56,1),2)+1)+41)=$A$56),((DATE($B$56,$A$56,1)-WEEKDAY(DATE($B$56,$A$56,1),2)+1)+41), "")</f>
        <v/>
      </c>
      <c r="AQ56" s="202"/>
      <c r="AR56" s="203"/>
    </row>
    <row r="57" spans="1:44" ht="7.5" customHeight="1" thickBot="1" x14ac:dyDescent="0.3">
      <c r="A57" s="161">
        <f t="shared" si="4"/>
        <v>8</v>
      </c>
      <c r="B57" s="159">
        <f t="shared" si="5"/>
        <v>2017</v>
      </c>
      <c r="C57" s="159"/>
      <c r="D57" s="160"/>
      <c r="G57" s="155"/>
      <c r="H57" s="155"/>
      <c r="I57" s="155"/>
      <c r="J57" s="155"/>
      <c r="K57" s="155"/>
      <c r="L57" s="155"/>
      <c r="M57" s="155"/>
      <c r="N57" s="155"/>
      <c r="P57" s="155"/>
      <c r="Q57" s="155"/>
      <c r="R57" s="155"/>
      <c r="S57" s="155"/>
      <c r="T57" s="155"/>
      <c r="U57" s="155"/>
      <c r="V57" s="155"/>
      <c r="W57" s="155"/>
      <c r="X57" s="155"/>
      <c r="Z57" s="155"/>
      <c r="AA57" s="155"/>
      <c r="AB57" s="155"/>
      <c r="AC57" s="155"/>
      <c r="AD57" s="155"/>
      <c r="AE57" s="155"/>
      <c r="AF57" s="155"/>
      <c r="AG57" s="155"/>
      <c r="AI57" s="155"/>
      <c r="AJ57" s="155"/>
      <c r="AK57" s="155"/>
      <c r="AL57" s="155"/>
      <c r="AM57" s="155"/>
      <c r="AN57" s="155"/>
      <c r="AO57" s="155"/>
      <c r="AQ57" s="204"/>
      <c r="AR57" s="203"/>
    </row>
    <row r="58" spans="1:44" ht="15.75" thickBot="1" x14ac:dyDescent="0.3">
      <c r="A58" s="161">
        <f t="shared" si="4"/>
        <v>9</v>
      </c>
      <c r="B58" s="159">
        <f t="shared" si="5"/>
        <v>2017</v>
      </c>
      <c r="C58" s="159"/>
      <c r="D58" s="160"/>
      <c r="F58" s="211"/>
      <c r="G58" s="212">
        <f>$AI$49+31</f>
        <v>42951</v>
      </c>
      <c r="H58" s="213"/>
      <c r="I58" s="213"/>
      <c r="J58" s="213"/>
      <c r="K58" s="213"/>
      <c r="L58" s="213"/>
      <c r="M58" s="214"/>
      <c r="N58" s="155"/>
      <c r="O58" s="211"/>
      <c r="P58" s="212">
        <f>$G$58+31</f>
        <v>42982</v>
      </c>
      <c r="Q58" s="213"/>
      <c r="R58" s="213"/>
      <c r="S58" s="213"/>
      <c r="T58" s="213"/>
      <c r="U58" s="213"/>
      <c r="V58" s="213"/>
      <c r="W58" s="214"/>
      <c r="X58" s="155"/>
      <c r="Y58" s="211"/>
      <c r="Z58" s="212">
        <f>$P$58+31</f>
        <v>43013</v>
      </c>
      <c r="AA58" s="213"/>
      <c r="AB58" s="213"/>
      <c r="AC58" s="213"/>
      <c r="AD58" s="213"/>
      <c r="AE58" s="213"/>
      <c r="AF58" s="214"/>
      <c r="AG58" s="155"/>
      <c r="AH58" s="211"/>
      <c r="AI58" s="212">
        <f>$Z$58+31</f>
        <v>43044</v>
      </c>
      <c r="AJ58" s="213"/>
      <c r="AK58" s="213"/>
      <c r="AL58" s="213"/>
      <c r="AM58" s="213"/>
      <c r="AN58" s="213"/>
      <c r="AO58" s="214"/>
      <c r="AQ58" s="202"/>
      <c r="AR58" s="203"/>
    </row>
    <row r="59" spans="1:44" ht="15.75" thickBot="1" x14ac:dyDescent="0.3">
      <c r="A59" s="161">
        <f t="shared" si="4"/>
        <v>10</v>
      </c>
      <c r="B59" s="159">
        <f t="shared" si="5"/>
        <v>2017</v>
      </c>
      <c r="C59" s="159"/>
      <c r="D59" s="160"/>
      <c r="F59" s="219" t="s">
        <v>165</v>
      </c>
      <c r="G59" s="208" t="s">
        <v>155</v>
      </c>
      <c r="H59" s="208" t="s">
        <v>156</v>
      </c>
      <c r="I59" s="208" t="s">
        <v>157</v>
      </c>
      <c r="J59" s="208" t="s">
        <v>158</v>
      </c>
      <c r="K59" s="208" t="s">
        <v>159</v>
      </c>
      <c r="L59" s="209" t="s">
        <v>160</v>
      </c>
      <c r="M59" s="210" t="s">
        <v>161</v>
      </c>
      <c r="N59" s="155"/>
      <c r="O59" s="219" t="s">
        <v>165</v>
      </c>
      <c r="P59" s="207" t="s">
        <v>155</v>
      </c>
      <c r="Q59" s="208" t="s">
        <v>156</v>
      </c>
      <c r="R59" s="208" t="s">
        <v>157</v>
      </c>
      <c r="S59" s="208" t="s">
        <v>158</v>
      </c>
      <c r="T59" s="208" t="s">
        <v>159</v>
      </c>
      <c r="U59" s="209" t="s">
        <v>160</v>
      </c>
      <c r="V59" s="209"/>
      <c r="W59" s="210" t="s">
        <v>161</v>
      </c>
      <c r="X59" s="155"/>
      <c r="Y59" s="219" t="s">
        <v>165</v>
      </c>
      <c r="Z59" s="207" t="s">
        <v>155</v>
      </c>
      <c r="AA59" s="208" t="s">
        <v>156</v>
      </c>
      <c r="AB59" s="208" t="s">
        <v>157</v>
      </c>
      <c r="AC59" s="208" t="s">
        <v>158</v>
      </c>
      <c r="AD59" s="208" t="s">
        <v>159</v>
      </c>
      <c r="AE59" s="209" t="s">
        <v>160</v>
      </c>
      <c r="AF59" s="210" t="s">
        <v>161</v>
      </c>
      <c r="AG59" s="155"/>
      <c r="AH59" s="219" t="s">
        <v>165</v>
      </c>
      <c r="AI59" s="207" t="s">
        <v>155</v>
      </c>
      <c r="AJ59" s="208" t="s">
        <v>156</v>
      </c>
      <c r="AK59" s="208" t="s">
        <v>157</v>
      </c>
      <c r="AL59" s="208" t="s">
        <v>158</v>
      </c>
      <c r="AM59" s="208" t="s">
        <v>159</v>
      </c>
      <c r="AN59" s="209" t="s">
        <v>160</v>
      </c>
      <c r="AO59" s="210" t="s">
        <v>161</v>
      </c>
      <c r="AQ59" s="204"/>
      <c r="AR59" s="203"/>
    </row>
    <row r="60" spans="1:44" x14ac:dyDescent="0.25">
      <c r="A60" s="161">
        <f t="shared" si="4"/>
        <v>11</v>
      </c>
      <c r="B60" s="159">
        <f t="shared" si="5"/>
        <v>2017</v>
      </c>
      <c r="C60" s="159"/>
      <c r="D60" s="160"/>
      <c r="F60" s="230">
        <f>WEEKNUM(M60,21)</f>
        <v>31</v>
      </c>
      <c r="G60" s="196" t="str">
        <f>IF(AND(YEAR((DATE($B$57,$A$57,1)-WEEKDAY(DATE($B$57,$A$57,1),2)+1)+0)=$B$57,MONTH((DATE($B$57,$A$57,1)-WEEKDAY(DATE($B$57,$A$57,1),2)+1)+0)=$A$57),((DATE($B$57,$A$57,1)-WEEKDAY(DATE($B$57,$A$57,1),2)+1)+0), "")</f>
        <v/>
      </c>
      <c r="H60" s="196">
        <f>IF(AND(YEAR((DATE($B$57,$A$57,1)-WEEKDAY(DATE($B$57,$A$57,1),2)+1)+1)=$B$57,MONTH((DATE($B$57,$A$57,1)-WEEKDAY(DATE($B$57,$A$57,1),2)+1)+1)=$A$57),((DATE($B$57,$A$57,1)-WEEKDAY(DATE($B$57,$A$57,1),2)+1)+1), "")</f>
        <v>42948</v>
      </c>
      <c r="I60" s="196">
        <f>IF(AND(YEAR((DATE($B$57,$A$57,1)-WEEKDAY(DATE($B$57,$A$57,1),2)+1)+2)=$B$57,MONTH((DATE($B$57,$A$57,1)-WEEKDAY(DATE($B$57,$A$57,1),2)+1)+2)=$A$57),((DATE($B$57,$A$57,1)-WEEKDAY(DATE($B$57,$A$57,1),2)+1)+2), "")</f>
        <v>42949</v>
      </c>
      <c r="J60" s="196">
        <f>IF(AND(YEAR((DATE($B$57,$A$57,1)-WEEKDAY(DATE($B$57,$A$57,1),2)+1)+3)=$B$57,MONTH((DATE($B$57,$A$57,1)-WEEKDAY(DATE($B$57,$A$57,1),2)+1)+3)=$A$57),((DATE($B$57,$A$57,1)-WEEKDAY(DATE($B$57,$A$57,1),2)+1)+3), "")</f>
        <v>42950</v>
      </c>
      <c r="K60" s="196">
        <f>IF(AND(YEAR((DATE($B$57,$A$57,1)-WEEKDAY(DATE($B$57,$A$57,1),2)+1)+4)=$B$57,MONTH((DATE($B$57,$A$57,1)-WEEKDAY(DATE($B$57,$A$57,1),2)+1)+4)=$A$57),((DATE($B$57,$A$57,1)-WEEKDAY(DATE($B$57,$A$57,1),2)+1)+4), "")</f>
        <v>42951</v>
      </c>
      <c r="L60" s="197">
        <f>IF(AND(YEAR((DATE($B$57,$A$57,1)-WEEKDAY(DATE($B$57,$A$57,1),2)+1)+5)=$B$57,MONTH((DATE($B$57,$A$57,1)-WEEKDAY(DATE($B$57,$A$57,1),2)+1)+5)=$A$57),((DATE($B$57,$A$57,1)-WEEKDAY(DATE($B$57,$A$57,1),2)+1)+5), "")</f>
        <v>42952</v>
      </c>
      <c r="M60" s="198">
        <f>IF(AND(YEAR((DATE($B$57,$A$57,1)-WEEKDAY(DATE($B$57,$A$57,1),2)+1)+6)=$B$57,MONTH((DATE($B$57,$A$57,1)-WEEKDAY(DATE($B$57,$A$57,1),2)+1)+6)=$A$57),((DATE($B$57,$A$57,1)-WEEKDAY(DATE($B$57,$A$57,1),2)+1)+6), "")</f>
        <v>42953</v>
      </c>
      <c r="N60" s="155"/>
      <c r="O60" s="230">
        <f>WEEKNUM(W60,21)</f>
        <v>35</v>
      </c>
      <c r="P60" s="220" t="str">
        <f>IF(AND(YEAR((DATE($B$58,$A$58,1)-WEEKDAY(DATE($B$58,$A$58,1),2)+1)+0)=$B$58,MONTH((DATE($B$58,$A$58,1)-WEEKDAY(DATE($B$58,$A$58,1),2)+1)+0)=$A$58),((DATE($B$58,$A$58,1)-WEEKDAY(DATE($B$58,$A$58,1),2)+1)+0), "")</f>
        <v/>
      </c>
      <c r="Q60" s="196" t="str">
        <f>IF(AND(YEAR((DATE($B$58,$A$58,1)-WEEKDAY(DATE($B$58,$A$58,1),2)+1)+1)=$B$58,MONTH((DATE($B$58,$A$58,1)-WEEKDAY(DATE($B$58,$A$58,1),2)+1)+1)=$A$58),((DATE($B$58,$A$58,1)-WEEKDAY(DATE($B$58,$A$58,1),2)+1)+1), "")</f>
        <v/>
      </c>
      <c r="R60" s="196" t="str">
        <f>IF(AND(YEAR((DATE($B$58,$A$58,1)-WEEKDAY(DATE($B$58,$A$58,1),2)+1)+2)=$B$58,MONTH((DATE($B$58,$A$58,1)-WEEKDAY(DATE($B$58,$A$58,1),2)+1)+2)=$A$58),((DATE($B$58,$A$58,1)-WEEKDAY(DATE($B$58,$A$58,1),2)+1)+2), "")</f>
        <v/>
      </c>
      <c r="S60" s="196" t="str">
        <f>IF(AND(YEAR((DATE($B$58,$A$58,1)-WEEKDAY(DATE($B$58,$A$58,1),2)+1)+3)=$B$58,MONTH((DATE($B$58,$A$58,1)-WEEKDAY(DATE($B$58,$A$58,1),2)+1)+3)=$A$58),((DATE($B$58,$A$58,1)-WEEKDAY(DATE($B$58,$A$58,1),2)+1)+3), "")</f>
        <v/>
      </c>
      <c r="T60" s="196">
        <f>IF(AND(YEAR((DATE($B$58,$A$58,1)-WEEKDAY(DATE($B$58,$A$58,1),2)+1)+4)=$B$58,MONTH((DATE($B$58,$A$58,1)-WEEKDAY(DATE($B$58,$A$58,1),2)+1)+4)=$A$58),((DATE($B$58,$A$58,1)-WEEKDAY(DATE($B$58,$A$58,1),2)+1)+4), "")</f>
        <v>42979</v>
      </c>
      <c r="U60" s="222">
        <f>IF(AND(YEAR((DATE($B$58,$A$58,1)-WEEKDAY(DATE($B$58,$A$58,1),2)+1)+5)=$B$58,MONTH((DATE($B$58,$A$58,1)-WEEKDAY(DATE($B$58,$A$58,1),2)+1)+5)=$A$58),((DATE($B$58,$A$58,1)-WEEKDAY(DATE($B$58,$A$58,1),2)+1)+5), "")</f>
        <v>42980</v>
      </c>
      <c r="V60" s="222"/>
      <c r="W60" s="198">
        <f>IF(AND(YEAR((DATE($B$58,$A$58,1)-WEEKDAY(DATE($B$58,$A$58,1),2)+1)+6)=$B$58,MONTH((DATE($B$58,$A$58,1)-WEEKDAY(DATE($B$58,$A$58,1),2)+1)+6)=$A$58),((DATE($B$58,$A$58,1)-WEEKDAY(DATE($B$58,$A$58,1),2)+1)+6), "")</f>
        <v>42981</v>
      </c>
      <c r="X60" s="155"/>
      <c r="Y60" s="230">
        <f>WEEKNUM(AF60,21)</f>
        <v>39</v>
      </c>
      <c r="Z60" s="220" t="str">
        <f>IF(AND(YEAR((DATE($B$59,$A$59,1)-WEEKDAY(DATE($B$59,$A$59,1),2)+1)+0)=$B$59,MONTH((DATE($B$59,$A$59,1)-WEEKDAY(DATE($B$59,$A$59,1),2)+1)+0)=$A$59),((DATE($B$59,$A$59,1)-WEEKDAY(DATE($B$59,$A$59,1),2)+1)+0), "")</f>
        <v/>
      </c>
      <c r="AA60" s="196" t="str">
        <f>IF(AND(YEAR((DATE($B$59,$A$59,1)-WEEKDAY(DATE($B$59,$A$59,1),2)+1)+1)=$B$59,MONTH((DATE($B$59,$A$59,1)-WEEKDAY(DATE($B$59,$A$59,1),2)+1)+1)=$A$59),((DATE($B$59,$A$59,1)-WEEKDAY(DATE($B$59,$A$59,1),2)+1)+1), "")</f>
        <v/>
      </c>
      <c r="AB60" s="196" t="str">
        <f>IF(AND(YEAR((DATE($B$59,$A$59,1)-WEEKDAY(DATE($B$59,$A$59,1),2)+1)+2)=$B$59,MONTH((DATE($B$59,$A$59,1)-WEEKDAY(DATE($B$59,$A$59,1),2)+1)+2)=$A$59),((DATE($B$59,$A$59,1)-WEEKDAY(DATE($B$59,$A$59,1),2)+1)+2), "")</f>
        <v/>
      </c>
      <c r="AC60" s="196" t="str">
        <f>IF(AND(YEAR((DATE($B$59,$A$59,1)-WEEKDAY(DATE($B$59,$A$59,1),2)+1)+3)=$B$59,MONTH((DATE($B$59,$A$59,1)-WEEKDAY(DATE($B$59,$A$59,1),2)+1)+3)=$A$59),((DATE($B$59,$A$59,1)-WEEKDAY(DATE($B$59,$A$59,1),2)+1)+3), "")</f>
        <v/>
      </c>
      <c r="AD60" s="196" t="str">
        <f>IF(AND(YEAR((DATE($B$59,$A$59,1)-WEEKDAY(DATE($B$59,$A$59,1),2)+1)+4)=$B$59,MONTH((DATE($B$59,$A$59,1)-WEEKDAY(DATE($B$59,$A$59,1),2)+1)+4)=$A$59),((DATE($B$59,$A$59,1)-WEEKDAY(DATE($B$59,$A$59,1),2)+1)+4), "")</f>
        <v/>
      </c>
      <c r="AE60" s="197" t="str">
        <f>IF(AND(YEAR((DATE($B$59,$A$59,1)-WEEKDAY(DATE($B$59,$A$59,1),2)+1)+5)=$B$59,MONTH((DATE($B$59,$A$59,1)-WEEKDAY(DATE($B$59,$A$59,1),2)+1)+5)=$A$59),((DATE($B$59,$A$59,1)-WEEKDAY(DATE($B$59,$A$59,1),2)+1)+5), "")</f>
        <v/>
      </c>
      <c r="AF60" s="198">
        <f>IF(AND(YEAR((DATE($B$59,$A$59,1)-WEEKDAY(DATE($B$59,$A$59,1),2)+1)+6)=$B$59,MONTH((DATE($B$59,$A$59,1)-WEEKDAY(DATE($B$59,$A$59,1),2)+1)+6)=$A$59),((DATE($B$59,$A$59,1)-WEEKDAY(DATE($B$59,$A$59,1),2)+1)+6), "")</f>
        <v>43009</v>
      </c>
      <c r="AG60" s="155"/>
      <c r="AH60" s="230">
        <f>WEEKNUM(AO60,21)</f>
        <v>44</v>
      </c>
      <c r="AI60" s="220" t="str">
        <f>IF(AND(YEAR((DATE($B$60,$A$60,1)-WEEKDAY(DATE($B$60,$A$60,1),2)+1)+0)=$B$60,MONTH((DATE($B$60,$A$60,1)-WEEKDAY(DATE($B$60,$A$60,1),2)+1)+0)=$A$60),((DATE($B$60,$A$60,1)-WEEKDAY(DATE($B$60,$A$60,1),2)+1)+0), "")</f>
        <v/>
      </c>
      <c r="AJ60" s="196" t="str">
        <f>IF(AND(YEAR((DATE($B$60,$A$60,1)-WEEKDAY(DATE($B$60,$A$60,1),2)+1)+1)=$B$60,MONTH((DATE($B$60,$A$60,1)-WEEKDAY(DATE($B$60,$A$60,1),2)+1)+1)=$A$60),((DATE($B$60,$A$60,1)-WEEKDAY(DATE($B$60,$A$60,1),2)+1)+1), "")</f>
        <v/>
      </c>
      <c r="AK60" s="196">
        <f>IF(AND(YEAR((DATE($B$60,$A$60,1)-WEEKDAY(DATE($B$60,$A$60,1),2)+1)+2)=$B$60,MONTH((DATE($B$60,$A$60,1)-WEEKDAY(DATE($B$60,$A$60,1),2)+1)+2)=$A$60),((DATE($B$60,$A$60,1)-WEEKDAY(DATE($B$60,$A$60,1),2)+1)+2), "")</f>
        <v>43040</v>
      </c>
      <c r="AL60" s="196">
        <f>IF(AND(YEAR((DATE($B$60,$A$60,1)-WEEKDAY(DATE($B$60,$A$60,1),2)+1)+3)=$B$60,MONTH((DATE($B$60,$A$60,1)-WEEKDAY(DATE($B$60,$A$60,1),2)+1)+3)=$A$60),((DATE($B$60,$A$60,1)-WEEKDAY(DATE($B$60,$A$60,1),2)+1)+3), "")</f>
        <v>43041</v>
      </c>
      <c r="AM60" s="196">
        <f>IF(AND(YEAR((DATE($B$60,$A$60,1)-WEEKDAY(DATE($B$60,$A$60,1),2)+1)+4)=$B$60,MONTH((DATE($B$60,$A$60,1)-WEEKDAY(DATE($B$60,$A$60,1),2)+1)+4)=$A$60),((DATE($B$60,$A$60,1)-WEEKDAY(DATE($B$60,$A$60,1),2)+1)+4), "")</f>
        <v>43042</v>
      </c>
      <c r="AN60" s="197">
        <f>IF(AND(YEAR((DATE($B$60,$A$60,1)-WEEKDAY(DATE($B$60,$A$60,1),2)+1)+5)=$B$60,MONTH((DATE($B$60,$A$60,1)-WEEKDAY(DATE($B$60,$A$60,1),2)+1)+5)=$A$60),((DATE($B$60,$A$60,1)-WEEKDAY(DATE($B$60,$A$60,1),2)+1)+5), "")</f>
        <v>43043</v>
      </c>
      <c r="AO60" s="198">
        <f>IF(AND(YEAR((DATE($B$60,$A$60,1)-WEEKDAY(DATE($B$60,$A$60,1),2)+1)+6)=$B$60,MONTH((DATE($B$60,$A$60,1)-WEEKDAY(DATE($B$60,$A$60,1),2)+1)+6)=$A$60),((DATE($B$60,$A$60,1)-WEEKDAY(DATE($B$60,$A$60,1),2)+1)+6), "")</f>
        <v>43044</v>
      </c>
      <c r="AQ60" s="202" t="s">
        <v>182</v>
      </c>
      <c r="AR60" s="229">
        <v>7</v>
      </c>
    </row>
    <row r="61" spans="1:44" x14ac:dyDescent="0.25">
      <c r="A61" s="161">
        <f t="shared" ref="A61" si="6">IF(A60=12,1,A60+1)</f>
        <v>12</v>
      </c>
      <c r="B61" s="159">
        <f t="shared" ref="B61" si="7">IF(A60=12,B60+1,B60)</f>
        <v>2017</v>
      </c>
      <c r="C61" s="159"/>
      <c r="D61" s="160"/>
      <c r="F61" s="230">
        <f>WEEKNUM(G61,21)</f>
        <v>32</v>
      </c>
      <c r="G61" s="196">
        <f>IF(AND(YEAR((DATE($B$57,$A$57,1)-WEEKDAY(DATE($B$57,$A$57,1),2)+1)+7)=$B$57,MONTH((DATE($B$57,$A$57,1)-WEEKDAY(DATE($B$57,$A$57,1),2)+1)+7)=$A$57),((DATE($B$57,$A$57,1)-WEEKDAY(DATE($B$57,$A$57,1),2)+1)+7), "")</f>
        <v>42954</v>
      </c>
      <c r="H61" s="196">
        <f>IF(AND(YEAR((DATE($B$57,$A$57,1)-WEEKDAY(DATE($B$57,$A$57,1),2)+1)+8)=$B$57,MONTH((DATE($B$57,$A$57,1)-WEEKDAY(DATE($B$57,$A$57,1),2)+1)+8)=$A$57),((DATE($B$57,$A$57,1)-WEEKDAY(DATE($B$57,$A$57,1),2)+1)+8), "")</f>
        <v>42955</v>
      </c>
      <c r="I61" s="196">
        <f>IF(AND(YEAR((DATE($B$57,$A$57,1)-WEEKDAY(DATE($B$57,$A$57,1),2)+1)+9)=$B$57,MONTH((DATE($B$57,$A$57,1)-WEEKDAY(DATE($B$57,$A$57,1),2)+1)+9)=$A$57),((DATE($B$57,$A$57,1)-WEEKDAY(DATE($B$57,$A$57,1),2)+1)+9), "")</f>
        <v>42956</v>
      </c>
      <c r="J61" s="196">
        <f>IF(AND(YEAR((DATE($B$57,$A$57,1)-WEEKDAY(DATE($B$57,$A$57,1),2)+1)+10)=$B$57,MONTH((DATE($B$57,$A$57,1)-WEEKDAY(DATE($B$57,$A$57,1),2)+1)+10)=$A$57),((DATE($B$57,$A$57,1)-WEEKDAY(DATE($B$57,$A$57,1),2)+1)+10), "")</f>
        <v>42957</v>
      </c>
      <c r="K61" s="196">
        <f>IF(AND(YEAR((DATE($B$57,$A$57,1)-WEEKDAY(DATE($B$57,$A$57,1),2)+1)+11)=$B$57,MONTH((DATE($B$57,$A$57,1)-WEEKDAY(DATE($B$57,$A$57,1),2)+1)+11)=$A$57),((DATE($B$57,$A$57,1)-WEEKDAY(DATE($B$57,$A$57,1),2)+1)+11), "")</f>
        <v>42958</v>
      </c>
      <c r="L61" s="197">
        <f>IF(AND(YEAR((DATE($B$57,$A$57,1)-WEEKDAY(DATE($B$57,$A$57,1),2)+1)+12)=$B$57,MONTH((DATE($B$57,$A$57,1)-WEEKDAY(DATE($B$57,$A$57,1),2)+1)+12)=$A$57),((DATE($B$57,$A$57,1)-WEEKDAY(DATE($B$57,$A$57,1),2)+1)+12), "")</f>
        <v>42959</v>
      </c>
      <c r="M61" s="198">
        <f>IF(AND(YEAR((DATE($B$57,$A$57,1)-WEEKDAY(DATE($B$57,$A$57,1),2)+1)+13)=$B$57,MONTH((DATE($B$57,$A$57,1)-WEEKDAY(DATE($B$57,$A$57,1),2)+1)+13)=$A$57),((DATE($B$57,$A$57,1)-WEEKDAY(DATE($B$57,$A$57,1),2)+1)+13), "")</f>
        <v>42960</v>
      </c>
      <c r="N61" s="155"/>
      <c r="O61" s="230">
        <f>WEEKNUM(P61,21)</f>
        <v>36</v>
      </c>
      <c r="P61" s="196">
        <f>IF(AND(YEAR((DATE($B$58,$A$58,1)-WEEKDAY(DATE($B$58,$A$58,1),2)+1)+7)=$B$58,MONTH((DATE($B$58,$A$58,1)-WEEKDAY(DATE($B$58,$A$58,1),2)+1)+7)=$A$58),((DATE($B$58,$A$58,1)-WEEKDAY(DATE($B$58,$A$58,1),2)+1)+7), "")</f>
        <v>42982</v>
      </c>
      <c r="Q61" s="196">
        <f>IF(AND(YEAR((DATE($B$58,$A$58,1)-WEEKDAY(DATE($B$58,$A$58,1),2)+1)+8)=$B$58,MONTH((DATE($B$58,$A$58,1)-WEEKDAY(DATE($B$58,$A$58,1),2)+1)+8)=$A$58),((DATE($B$58,$A$58,1)-WEEKDAY(DATE($B$58,$A$58,1),2)+1)+8), "")</f>
        <v>42983</v>
      </c>
      <c r="R61" s="196">
        <f>IF(AND(YEAR((DATE($B$58,$A$58,1)-WEEKDAY(DATE($B$58,$A$58,1),2)+1)+9)=$B$58,MONTH((DATE($B$58,$A$58,1)-WEEKDAY(DATE($B$58,$A$58,1),2)+1)+9)=$A$58),((DATE($B$58,$A$58,1)-WEEKDAY(DATE($B$58,$A$58,1),2)+1)+9), "")</f>
        <v>42984</v>
      </c>
      <c r="S61" s="196">
        <f>IF(AND(YEAR((DATE($B$58,$A$58,1)-WEEKDAY(DATE($B$58,$A$58,1),2)+1)+10)=$B$58,MONTH((DATE($B$58,$A$58,1)-WEEKDAY(DATE($B$58,$A$58,1),2)+1)+10)=$A$58),((DATE($B$58,$A$58,1)-WEEKDAY(DATE($B$58,$A$58,1),2)+1)+10), "")</f>
        <v>42985</v>
      </c>
      <c r="T61" s="196">
        <f>IF(AND(YEAR((DATE($B$58,$A$58,1)-WEEKDAY(DATE($B$58,$A$58,1),2)+1)+11)=$B$58,MONTH((DATE($B$58,$A$58,1)-WEEKDAY(DATE($B$58,$A$58,1),2)+1)+11)=$A$58),((DATE($B$58,$A$58,1)-WEEKDAY(DATE($B$58,$A$58,1),2)+1)+11), "")</f>
        <v>42986</v>
      </c>
      <c r="U61" s="221">
        <f>IF(AND(YEAR((DATE($B$58,$A$58,1)-WEEKDAY(DATE($B$58,$A$58,1),2)+1)+12)=$B$58,MONTH((DATE($B$58,$A$58,1)-WEEKDAY(DATE($B$58,$A$58,1),2)+1)+12)=$A$58),((DATE($B$58,$A$58,1)-WEEKDAY(DATE($B$58,$A$58,1),2)+1)+12), "")</f>
        <v>42987</v>
      </c>
      <c r="V61" s="221"/>
      <c r="W61" s="198">
        <f>IF(AND(YEAR((DATE($B$58,$A$58,1)-WEEKDAY(DATE($B$58,$A$58,1),2)+1)+13)=$B$58,MONTH((DATE($B$58,$A$58,1)-WEEKDAY(DATE($B$58,$A$58,1),2)+1)+13)=$A$58),((DATE($B$58,$A$58,1)-WEEKDAY(DATE($B$58,$A$58,1),2)+1)+13), "")</f>
        <v>42988</v>
      </c>
      <c r="X61" s="155"/>
      <c r="Y61" s="230">
        <f>WEEKNUM(Z61,21)</f>
        <v>40</v>
      </c>
      <c r="Z61" s="196">
        <f>IF(AND(YEAR((DATE($B$59,$A$59,1)-WEEKDAY(DATE($B$59,$A$59,1),2)+1)+7)=$B$59,MONTH((DATE($B$59,$A$59,1)-WEEKDAY(DATE($B$59,$A$59,1),2)+1)+7)=$A$59),((DATE($B$59,$A$59,1)-WEEKDAY(DATE($B$59,$A$59,1),2)+1)+7), "")</f>
        <v>43010</v>
      </c>
      <c r="AA61" s="196">
        <f>IF(AND(YEAR((DATE($B$59,$A$59,1)-WEEKDAY(DATE($B$59,$A$59,1),2)+1)+8)=$B$59,MONTH((DATE($B$59,$A$59,1)-WEEKDAY(DATE($B$59,$A$59,1),2)+1)+8)=$A$59),((DATE($B$59,$A$59,1)-WEEKDAY(DATE($B$59,$A$59,1),2)+1)+8), "")</f>
        <v>43011</v>
      </c>
      <c r="AB61" s="196">
        <f>IF(AND(YEAR((DATE($B$59,$A$59,1)-WEEKDAY(DATE($B$59,$A$59,1),2)+1)+9)=$B$59,MONTH((DATE($B$59,$A$59,1)-WEEKDAY(DATE($B$59,$A$59,1),2)+1)+9)=$A$59),((DATE($B$59,$A$59,1)-WEEKDAY(DATE($B$59,$A$59,1),2)+1)+9), "")</f>
        <v>43012</v>
      </c>
      <c r="AC61" s="196">
        <f>IF(AND(YEAR((DATE($B$59,$A$59,1)-WEEKDAY(DATE($B$59,$A$59,1),2)+1)+10)=$B$59,MONTH((DATE($B$59,$A$59,1)-WEEKDAY(DATE($B$59,$A$59,1),2)+1)+10)=$A$59),((DATE($B$59,$A$59,1)-WEEKDAY(DATE($B$59,$A$59,1),2)+1)+10), "")</f>
        <v>43013</v>
      </c>
      <c r="AD61" s="196">
        <f>IF(AND(YEAR((DATE($B$59,$A$59,1)-WEEKDAY(DATE($B$59,$A$59,1),2)+1)+11)=$B$59,MONTH((DATE($B$59,$A$59,1)-WEEKDAY(DATE($B$59,$A$59,1),2)+1)+11)=$A$59),((DATE($B$59,$A$59,1)-WEEKDAY(DATE($B$59,$A$59,1),2)+1)+11), "")</f>
        <v>43014</v>
      </c>
      <c r="AE61" s="197">
        <f>IF(AND(YEAR((DATE($B$59,$A$59,1)-WEEKDAY(DATE($B$59,$A$59,1),2)+1)+12)=$B$59,MONTH((DATE($B$59,$A$59,1)-WEEKDAY(DATE($B$59,$A$59,1),2)+1)+12)=$A$59),((DATE($B$59,$A$59,1)-WEEKDAY(DATE($B$59,$A$59,1),2)+1)+12), "")</f>
        <v>43015</v>
      </c>
      <c r="AF61" s="198">
        <f>IF(AND(YEAR((DATE($B$59,$A$59,1)-WEEKDAY(DATE($B$59,$A$59,1),2)+1)+13)=$B$59,MONTH((DATE($B$59,$A$59,1)-WEEKDAY(DATE($B$59,$A$59,1),2)+1)+13)=$A$59),((DATE($B$59,$A$59,1)-WEEKDAY(DATE($B$59,$A$59,1),2)+1)+13), "")</f>
        <v>43016</v>
      </c>
      <c r="AG61" s="155"/>
      <c r="AH61" s="230">
        <f>WEEKNUM(AI61,21)</f>
        <v>45</v>
      </c>
      <c r="AI61" s="196">
        <f>IF(AND(YEAR((DATE($B$60,$A$60,1)-WEEKDAY(DATE($B$60,$A$60,1),2)+1)+7)=$B$60,MONTH((DATE($B$60,$A$60,1)-WEEKDAY(DATE($B$60,$A$60,1),2)+1)+7)=$A$60),((DATE($B$60,$A$60,1)-WEEKDAY(DATE($B$60,$A$60,1),2)+1)+7), "")</f>
        <v>43045</v>
      </c>
      <c r="AJ61" s="196">
        <f>IF(AND(YEAR((DATE($B$60,$A$60,1)-WEEKDAY(DATE($B$60,$A$60,1),2)+1)+8)=$B$60,MONTH((DATE($B$60,$A$60,1)-WEEKDAY(DATE($B$60,$A$60,1),2)+1)+8)=$A$60),((DATE($B$60,$A$60,1)-WEEKDAY(DATE($B$60,$A$60,1),2)+1)+8), "")</f>
        <v>43046</v>
      </c>
      <c r="AK61" s="196">
        <f>IF(AND(YEAR((DATE($B$60,$A$60,1)-WEEKDAY(DATE($B$60,$A$60,1),2)+1)+9)=$B$60,MONTH((DATE($B$60,$A$60,1)-WEEKDAY(DATE($B$60,$A$60,1),2)+1)+9)=$A$60),((DATE($B$60,$A$60,1)-WEEKDAY(DATE($B$60,$A$60,1),2)+1)+9), "")</f>
        <v>43047</v>
      </c>
      <c r="AL61" s="196">
        <f>IF(AND(YEAR((DATE($B$60,$A$60,1)-WEEKDAY(DATE($B$60,$A$60,1),2)+1)+10)=$B$60,MONTH((DATE($B$60,$A$60,1)-WEEKDAY(DATE($B$60,$A$60,1),2)+1)+10)=$A$60),((DATE($B$60,$A$60,1)-WEEKDAY(DATE($B$60,$A$60,1),2)+1)+10), "")</f>
        <v>43048</v>
      </c>
      <c r="AM61" s="196">
        <f>IF(AND(YEAR((DATE($B$60,$A$60,1)-WEEKDAY(DATE($B$60,$A$60,1),2)+1)+11)=$B$60,MONTH((DATE($B$60,$A$60,1)-WEEKDAY(DATE($B$60,$A$60,1),2)+1)+11)=$A$60),((DATE($B$60,$A$60,1)-WEEKDAY(DATE($B$60,$A$60,1),2)+1)+11), "")</f>
        <v>43049</v>
      </c>
      <c r="AN61" s="197">
        <f>IF(AND(YEAR((DATE($B$60,$A$60,1)-WEEKDAY(DATE($B$60,$A$60,1),2)+1)+12)=$B$60,MONTH((DATE($B$60,$A$60,1)-WEEKDAY(DATE($B$60,$A$60,1),2)+1)+12)=$A$60),((DATE($B$60,$A$60,1)-WEEKDAY(DATE($B$60,$A$60,1),2)+1)+12), "")</f>
        <v>43050</v>
      </c>
      <c r="AO61" s="198">
        <f>IF(AND(YEAR((DATE($B$60,$A$60,1)-WEEKDAY(DATE($B$60,$A$60,1),2)+1)+13)=$B$60,MONTH((DATE($B$60,$A$60,1)-WEEKDAY(DATE($B$60,$A$60,1),2)+1)+13)=$A$60),((DATE($B$60,$A$60,1)-WEEKDAY(DATE($B$60,$A$60,1),2)+1)+13), "")</f>
        <v>43051</v>
      </c>
      <c r="AQ61" s="202" t="s">
        <v>183</v>
      </c>
      <c r="AR61" s="234">
        <v>14</v>
      </c>
    </row>
    <row r="62" spans="1:44" x14ac:dyDescent="0.25">
      <c r="A62" s="161"/>
      <c r="B62" s="159"/>
      <c r="C62" s="159"/>
      <c r="D62" s="160"/>
      <c r="F62" s="230">
        <f t="shared" ref="F62:F64" si="8">WEEKNUM(G62,21)</f>
        <v>33</v>
      </c>
      <c r="G62" s="196">
        <f>IF(AND(YEAR((DATE($B$57,$A$57,1)-WEEKDAY(DATE($B$57,$A$57,1),2)+1)+14)=$B$57,MONTH((DATE($B$57,$A$57,1)-WEEKDAY(DATE($B$57,$A$57,1),2)+1)+14)=$A$57),((DATE($B$57,$A$57,1)-WEEKDAY(DATE($B$57,$A$57,1),2)+1)+14), "")</f>
        <v>42961</v>
      </c>
      <c r="H62" s="196">
        <f>IF(AND(YEAR((DATE($B$57,$A$57,1)-WEEKDAY(DATE($B$57,$A$57,1),2)+1)+15)=$B$57,MONTH((DATE($B$57,$A$57,1)-WEEKDAY(DATE($B$57,$A$57,1),2)+1)+15)=$A$57),((DATE($B$57,$A$57,1)-WEEKDAY(DATE($B$57,$A$57,1),2)+1)+15), "")</f>
        <v>42962</v>
      </c>
      <c r="I62" s="196">
        <f>IF(AND(YEAR((DATE($B$57,$A$57,1)-WEEKDAY(DATE($B$57,$A$57,1),2)+1)+16)=$B$57,MONTH((DATE($B$57,$A$57,1)-WEEKDAY(DATE($B$57,$A$57,1),2)+1)+16)=$A$57),((DATE($B$57,$A$57,1)-WEEKDAY(DATE($B$57,$A$57,1),2)+1)+16), "")</f>
        <v>42963</v>
      </c>
      <c r="J62" s="196">
        <f>IF(AND(YEAR((DATE($B$57,$A$57,1)-WEEKDAY(DATE($B$57,$A$57,1),2)+1)+17)=$B$57,MONTH((DATE($B$57,$A$57,1)-WEEKDAY(DATE($B$57,$A$57,1),2)+1)+17)=$A$57),((DATE($B$57,$A$57,1)-WEEKDAY(DATE($B$57,$A$57,1),2)+1)+17), "")</f>
        <v>42964</v>
      </c>
      <c r="K62" s="196">
        <f>IF(AND(YEAR((DATE($B$57,$A$57,1)-WEEKDAY(DATE($B$57,$A$57,1),2)+1)+18)=$B$57,MONTH((DATE($B$57,$A$57,1)-WEEKDAY(DATE($B$57,$A$57,1),2)+1)+18)=$A$57),((DATE($B$57,$A$57,1)-WEEKDAY(DATE($B$57,$A$57,1),2)+1)+18), "")</f>
        <v>42965</v>
      </c>
      <c r="L62" s="197">
        <f>IF(AND(YEAR((DATE($B$57,$A$57,1)-WEEKDAY(DATE($B$57,$A$57,1),2)+1)+19)=$B$57,MONTH((DATE($B$57,$A$57,1)-WEEKDAY(DATE($B$57,$A$57,1),2)+1)+19)=$A$57),((DATE($B$57,$A$57,1)-WEEKDAY(DATE($B$57,$A$57,1),2)+1)+19), "")</f>
        <v>42966</v>
      </c>
      <c r="M62" s="198">
        <f>IF(AND(YEAR((DATE($B$57,$A$57,1)-WEEKDAY(DATE($B$57,$A$57,1),2)+1)+20)=$B$57,MONTH((DATE($B$57,$A$57,1)-WEEKDAY(DATE($B$57,$A$57,1),2)+1)+20)=$A$57),((DATE($B$57,$A$57,1)-WEEKDAY(DATE($B$57,$A$57,1),2)+1)+20), "")</f>
        <v>42967</v>
      </c>
      <c r="N62" s="155"/>
      <c r="O62" s="230">
        <f t="shared" ref="O62:O64" si="9">WEEKNUM(P62,21)</f>
        <v>37</v>
      </c>
      <c r="P62" s="196">
        <f>IF(AND(YEAR((DATE($B$58,$A$58,1)-WEEKDAY(DATE($B$58,$A$58,1),2)+1)+14)=$B$58,MONTH((DATE($B$58,$A$58,1)-WEEKDAY(DATE($B$58,$A$58,1),2)+1)+14)=$A$58),((DATE($B$58,$A$58,1)-WEEKDAY(DATE($B$58,$A$58,1),2)+1)+14), "")</f>
        <v>42989</v>
      </c>
      <c r="Q62" s="196">
        <f>IF(AND(YEAR((DATE($B$58,$A$58,1)-WEEKDAY(DATE($B$58,$A$58,1),2)+1)+15)=$B$58,MONTH((DATE($B$58,$A$58,1)-WEEKDAY(DATE($B$58,$A$58,1),2)+1)+15)=$A$58),((DATE($B$58,$A$58,1)-WEEKDAY(DATE($B$58,$A$58,1),2)+1)+15), "")</f>
        <v>42990</v>
      </c>
      <c r="R62" s="196">
        <f>IF(AND(YEAR((DATE($B$58,$A$58,1)-WEEKDAY(DATE($B$58,$A$58,1),2)+1)+16)=$B$58,MONTH((DATE($B$58,$A$58,1)-WEEKDAY(DATE($B$58,$A$58,1),2)+1)+16)=$A$58),((DATE($B$58,$A$58,1)-WEEKDAY(DATE($B$58,$A$58,1),2)+1)+16), "")</f>
        <v>42991</v>
      </c>
      <c r="S62" s="196">
        <f>IF(AND(YEAR((DATE($B$58,$A$58,1)-WEEKDAY(DATE($B$58,$A$58,1),2)+1)+17)=$B$58,MONTH((DATE($B$58,$A$58,1)-WEEKDAY(DATE($B$58,$A$58,1),2)+1)+17)=$A$58),((DATE($B$58,$A$58,1)-WEEKDAY(DATE($B$58,$A$58,1),2)+1)+17), "")</f>
        <v>42992</v>
      </c>
      <c r="T62" s="196">
        <f>IF(AND(YEAR((DATE($B$58,$A$58,1)-WEEKDAY(DATE($B$58,$A$58,1),2)+1)+18)=$B$58,MONTH((DATE($B$58,$A$58,1)-WEEKDAY(DATE($B$58,$A$58,1),2)+1)+18)=$A$58),((DATE($B$58,$A$58,1)-WEEKDAY(DATE($B$58,$A$58,1),2)+1)+18), "")</f>
        <v>42993</v>
      </c>
      <c r="U62" s="221">
        <f>IF(AND(YEAR((DATE($B$58,$A$58,1)-WEEKDAY(DATE($B$58,$A$58,1),2)+1)+19)=$B$58,MONTH((DATE($B$58,$A$58,1)-WEEKDAY(DATE($B$58,$A$58,1),2)+1)+19)=$A$58),((DATE($B$58,$A$58,1)-WEEKDAY(DATE($B$58,$A$58,1),2)+1)+19), "")</f>
        <v>42994</v>
      </c>
      <c r="V62" s="221"/>
      <c r="W62" s="198">
        <f>IF(AND(YEAR((DATE($B$58,$A$58,1)-WEEKDAY(DATE($B$58,$A$58,1),2)+1)+20)=$B$58,MONTH((DATE($B$58,$A$58,1)-WEEKDAY(DATE($B$58,$A$58,1),2)+1)+20)=$A$58),((DATE($B$58,$A$58,1)-WEEKDAY(DATE($B$58,$A$58,1),2)+1)+20), "")</f>
        <v>42995</v>
      </c>
      <c r="X62" s="155"/>
      <c r="Y62" s="230">
        <f t="shared" ref="Y62:Y64" si="10">WEEKNUM(Z62,21)</f>
        <v>41</v>
      </c>
      <c r="Z62" s="196">
        <f>IF(AND(YEAR((DATE($B$59,$A$59,1)-WEEKDAY(DATE($B$59,$A$59,1),2)+1)+14)=$B$59,MONTH((DATE($B$59,$A$59,1)-WEEKDAY(DATE($B$59,$A$59,1),2)+1)+14)=$A$59),((DATE($B$59,$A$59,1)-WEEKDAY(DATE($B$59,$A$59,1),2)+1)+14), "")</f>
        <v>43017</v>
      </c>
      <c r="AA62" s="196">
        <f>IF(AND(YEAR((DATE($B$59,$A$59,1)-WEEKDAY(DATE($B$59,$A$59,1),2)+1)+15)=$B$59,MONTH((DATE($B$59,$A$59,1)-WEEKDAY(DATE($B$59,$A$59,1),2)+1)+15)=$A$59),((DATE($B$59,$A$59,1)-WEEKDAY(DATE($B$59,$A$59,1),2)+1)+15), "")</f>
        <v>43018</v>
      </c>
      <c r="AB62" s="196">
        <f>IF(AND(YEAR((DATE($B$59,$A$59,1)-WEEKDAY(DATE($B$59,$A$59,1),2)+1)+16)=$B$59,MONTH((DATE($B$59,$A$59,1)-WEEKDAY(DATE($B$59,$A$59,1),2)+1)+16)=$A$59),((DATE($B$59,$A$59,1)-WEEKDAY(DATE($B$59,$A$59,1),2)+1)+16), "")</f>
        <v>43019</v>
      </c>
      <c r="AC62" s="196">
        <f>IF(AND(YEAR((DATE($B$59,$A$59,1)-WEEKDAY(DATE($B$59,$A$59,1),2)+1)+17)=$B$59,MONTH((DATE($B$59,$A$59,1)-WEEKDAY(DATE($B$59,$A$59,1),2)+1)+17)=$A$59),((DATE($B$59,$A$59,1)-WEEKDAY(DATE($B$59,$A$59,1),2)+1)+17), "")</f>
        <v>43020</v>
      </c>
      <c r="AD62" s="196">
        <f>IF(AND(YEAR((DATE($B$59,$A$59,1)-WEEKDAY(DATE($B$59,$A$59,1),2)+1)+18)=$B$59,MONTH((DATE($B$59,$A$59,1)-WEEKDAY(DATE($B$59,$A$59,1),2)+1)+18)=$A$59),((DATE($B$59,$A$59,1)-WEEKDAY(DATE($B$59,$A$59,1),2)+1)+18), "")</f>
        <v>43021</v>
      </c>
      <c r="AE62" s="197">
        <f>IF(AND(YEAR((DATE($B$59,$A$59,1)-WEEKDAY(DATE($B$59,$A$59,1),2)+1)+19)=$B$59,MONTH((DATE($B$59,$A$59,1)-WEEKDAY(DATE($B$59,$A$59,1),2)+1)+19)=$A$59),((DATE($B$59,$A$59,1)-WEEKDAY(DATE($B$59,$A$59,1),2)+1)+19), "")</f>
        <v>43022</v>
      </c>
      <c r="AF62" s="198">
        <f>IF(AND(YEAR((DATE($B$59,$A$59,1)-WEEKDAY(DATE($B$59,$A$59,1),2)+1)+20)=$B$59,MONTH((DATE($B$59,$A$59,1)-WEEKDAY(DATE($B$59,$A$59,1),2)+1)+20)=$A$59),((DATE($B$59,$A$59,1)-WEEKDAY(DATE($B$59,$A$59,1),2)+1)+20), "")</f>
        <v>43023</v>
      </c>
      <c r="AG62" s="155"/>
      <c r="AH62" s="230">
        <f t="shared" ref="AH62:AH64" si="11">WEEKNUM(AI62,21)</f>
        <v>46</v>
      </c>
      <c r="AI62" s="196">
        <f>IF(AND(YEAR((DATE($B$60,$A$60,1)-WEEKDAY(DATE($B$60,$A$60,1),2)+1)+14)=$B$60,MONTH((DATE($B$60,$A$60,1)-WEEKDAY(DATE($B$60,$A$60,1),2)+1)+14)=$A$60),((DATE($B$60,$A$60,1)-WEEKDAY(DATE($B$60,$A$60,1),2)+1)+14), "")</f>
        <v>43052</v>
      </c>
      <c r="AJ62" s="196">
        <f>IF(AND(YEAR((DATE($B$60,$A$60,1)-WEEKDAY(DATE($B$60,$A$60,1),2)+1)+15)=$B$60,MONTH((DATE($B$60,$A$60,1)-WEEKDAY(DATE($B$60,$A$60,1),2)+1)+15)=$A$60),((DATE($B$60,$A$60,1)-WEEKDAY(DATE($B$60,$A$60,1),2)+1)+15), "")</f>
        <v>43053</v>
      </c>
      <c r="AK62" s="196">
        <f>IF(AND(YEAR((DATE($B$60,$A$60,1)-WEEKDAY(DATE($B$60,$A$60,1),2)+1)+16)=$B$60,MONTH((DATE($B$60,$A$60,1)-WEEKDAY(DATE($B$60,$A$60,1),2)+1)+16)=$A$60),((DATE($B$60,$A$60,1)-WEEKDAY(DATE($B$60,$A$60,1),2)+1)+16), "")</f>
        <v>43054</v>
      </c>
      <c r="AL62" s="196">
        <f>IF(AND(YEAR((DATE($B$60,$A$60,1)-WEEKDAY(DATE($B$60,$A$60,1),2)+1)+17)=$B$60,MONTH((DATE($B$60,$A$60,1)-WEEKDAY(DATE($B$60,$A$60,1),2)+1)+17)=$A$60),((DATE($B$60,$A$60,1)-WEEKDAY(DATE($B$60,$A$60,1),2)+1)+17), "")</f>
        <v>43055</v>
      </c>
      <c r="AM62" s="196">
        <f>IF(AND(YEAR((DATE($B$60,$A$60,1)-WEEKDAY(DATE($B$60,$A$60,1),2)+1)+18)=$B$60,MONTH((DATE($B$60,$A$60,1)-WEEKDAY(DATE($B$60,$A$60,1),2)+1)+18)=$A$60),((DATE($B$60,$A$60,1)-WEEKDAY(DATE($B$60,$A$60,1),2)+1)+18), "")</f>
        <v>43056</v>
      </c>
      <c r="AN62" s="197">
        <f>IF(AND(YEAR((DATE($B$60,$A$60,1)-WEEKDAY(DATE($B$60,$A$60,1),2)+1)+19)=$B$60,MONTH((DATE($B$60,$A$60,1)-WEEKDAY(DATE($B$60,$A$60,1),2)+1)+19)=$A$60),((DATE($B$60,$A$60,1)-WEEKDAY(DATE($B$60,$A$60,1),2)+1)+19), "")</f>
        <v>43057</v>
      </c>
      <c r="AO62" s="198">
        <f>IF(AND(YEAR((DATE($B$60,$A$60,1)-WEEKDAY(DATE($B$60,$A$60,1),2)+1)+20)=$B$60,MONTH((DATE($B$60,$A$60,1)-WEEKDAY(DATE($B$60,$A$60,1),2)+1)+20)=$A$60),((DATE($B$60,$A$60,1)-WEEKDAY(DATE($B$60,$A$60,1),2)+1)+20), "")</f>
        <v>43058</v>
      </c>
      <c r="AQ62" s="202" t="s">
        <v>186</v>
      </c>
      <c r="AR62" s="233">
        <v>21</v>
      </c>
    </row>
    <row r="63" spans="1:44" x14ac:dyDescent="0.25">
      <c r="A63" s="161"/>
      <c r="B63" s="159"/>
      <c r="C63" s="159"/>
      <c r="D63" s="160"/>
      <c r="F63" s="230">
        <f t="shared" si="8"/>
        <v>34</v>
      </c>
      <c r="G63" s="196">
        <f>IF(AND(YEAR((DATE($B$57,$A$57,1)-WEEKDAY(DATE($B$57,$A$57,1),2)+1)+21)=$B$57,MONTH((DATE($B$57,$A$57,1)-WEEKDAY(DATE($B$57,$A$57,1),2)+1)+21)=$A$57),((DATE($B$57,$A$57,1)-WEEKDAY(DATE($B$57,$A$57,1),2)+1)+21), "")</f>
        <v>42968</v>
      </c>
      <c r="H63" s="196">
        <f>IF(AND(YEAR((DATE($B$57,$A$57,1)-WEEKDAY(DATE($B$57,$A$57,1),2)+1)+22)=$B$57,MONTH((DATE($B$57,$A$57,1)-WEEKDAY(DATE($B$57,$A$57,1),2)+1)+22)=$A$57),((DATE($B$57,$A$57,1)-WEEKDAY(DATE($B$57,$A$57,1),2)+1)+22), "")</f>
        <v>42969</v>
      </c>
      <c r="I63" s="196">
        <f>IF(AND(YEAR((DATE($B$57,$A$57,1)-WEEKDAY(DATE($B$57,$A$57,1),2)+1)+23)=$B$57,MONTH((DATE($B$57,$A$57,1)-WEEKDAY(DATE($B$57,$A$57,1),2)+1)+23)=$A$57),((DATE($B$57,$A$57,1)-WEEKDAY(DATE($B$57,$A$57,1),2)+1)+23), "")</f>
        <v>42970</v>
      </c>
      <c r="J63" s="196">
        <f>IF(AND(YEAR((DATE($B$57,$A$57,1)-WEEKDAY(DATE($B$57,$A$57,1),2)+1)+24)=$B$57,MONTH((DATE($B$57,$A$57,1)-WEEKDAY(DATE($B$57,$A$57,1),2)+1)+24)=$A$57),((DATE($B$57,$A$57,1)-WEEKDAY(DATE($B$57,$A$57,1),2)+1)+24), "")</f>
        <v>42971</v>
      </c>
      <c r="K63" s="196">
        <f>IF(AND(YEAR((DATE($B$57,$A$57,1)-WEEKDAY(DATE($B$57,$A$57,1),2)+1)+25)=$B$57,MONTH((DATE($B$57,$A$57,1)-WEEKDAY(DATE($B$57,$A$57,1),2)+1)+25)=$A$57),((DATE($B$57,$A$57,1)-WEEKDAY(DATE($B$57,$A$57,1),2)+1)+25), "")</f>
        <v>42972</v>
      </c>
      <c r="L63" s="197">
        <f>IF(AND(YEAR((DATE($B$57,$A$57,1)-WEEKDAY(DATE($B$57,$A$57,1),2)+1)+26)=$B$57,MONTH((DATE($B$57,$A$57,1)-WEEKDAY(DATE($B$57,$A$57,1),2)+1)+26)=$A$57),((DATE($B$57,$A$57,1)-WEEKDAY(DATE($B$57,$A$57,1),2)+1)+26), "")</f>
        <v>42973</v>
      </c>
      <c r="M63" s="198">
        <f>IF(AND(YEAR((DATE($B$57,$A$57,1)-WEEKDAY(DATE($B$57,$A$57,1),2)+1)+27)=$B$57,MONTH((DATE($B$57,$A$57,1)-WEEKDAY(DATE($B$57,$A$57,1),2)+1)+27)=$A$57),((DATE($B$57,$A$57,1)-WEEKDAY(DATE($B$57,$A$57,1),2)+1)+27), "")</f>
        <v>42974</v>
      </c>
      <c r="N63" s="155"/>
      <c r="O63" s="230">
        <f t="shared" si="9"/>
        <v>38</v>
      </c>
      <c r="P63" s="196">
        <f>IF(AND(YEAR((DATE($B$58,$A$58,1)-WEEKDAY(DATE($B$58,$A$58,1),2)+1)+21)=$B$58,MONTH((DATE($B$58,$A$58,1)-WEEKDAY(DATE($B$58,$A$58,1),2)+1)+21)=$A$58),((DATE($B$58,$A$58,1)-WEEKDAY(DATE($B$58,$A$58,1),2)+1)+21), "")</f>
        <v>42996</v>
      </c>
      <c r="Q63" s="196">
        <f>IF(AND(YEAR((DATE($B$58,$A$58,1)-WEEKDAY(DATE($B$58,$A$58,1),2)+1)+22)=$B$58,MONTH((DATE($B$58,$A$58,1)-WEEKDAY(DATE($B$58,$A$58,1),2)+1)+22)=$A$58),((DATE($B$58,$A$58,1)-WEEKDAY(DATE($B$58,$A$58,1),2)+1)+22), "")</f>
        <v>42997</v>
      </c>
      <c r="R63" s="196">
        <f>IF(AND(YEAR((DATE($B$58,$A$58,1)-WEEKDAY(DATE($B$58,$A$58,1),2)+1)+23)=$B$58,MONTH((DATE($B$58,$A$58,1)-WEEKDAY(DATE($B$58,$A$58,1),2)+1)+23)=$A$58),((DATE($B$58,$A$58,1)-WEEKDAY(DATE($B$58,$A$58,1),2)+1)+23), "")</f>
        <v>42998</v>
      </c>
      <c r="S63" s="196">
        <f>IF(AND(YEAR((DATE($B$58,$A$58,1)-WEEKDAY(DATE($B$58,$A$58,1),2)+1)+24)=$B$58,MONTH((DATE($B$58,$A$58,1)-WEEKDAY(DATE($B$58,$A$58,1),2)+1)+24)=$A$58),((DATE($B$58,$A$58,1)-WEEKDAY(DATE($B$58,$A$58,1),2)+1)+24), "")</f>
        <v>42999</v>
      </c>
      <c r="T63" s="196">
        <f>IF(AND(YEAR((DATE($B$58,$A$58,1)-WEEKDAY(DATE($B$58,$A$58,1),2)+1)+25)=$B$58,MONTH((DATE($B$58,$A$58,1)-WEEKDAY(DATE($B$58,$A$58,1),2)+1)+25)=$A$58),((DATE($B$58,$A$58,1)-WEEKDAY(DATE($B$58,$A$58,1),2)+1)+25), "")</f>
        <v>43000</v>
      </c>
      <c r="U63" s="221">
        <f>IF(AND(YEAR((DATE($B$58,$A$58,1)-WEEKDAY(DATE($B$58,$A$58,1),2)+1)+26)=$B$58,MONTH((DATE($B$58,$A$58,1)-WEEKDAY(DATE($B$58,$A$58,1),2)+1)+26)=$A$58),((DATE($B$58,$A$58,1)-WEEKDAY(DATE($B$58,$A$58,1),2)+1)+26), "")</f>
        <v>43001</v>
      </c>
      <c r="V63" s="221"/>
      <c r="W63" s="198">
        <f>IF(AND(YEAR((DATE($B$58,$A$58,1)-WEEKDAY(DATE($B$58,$A$58,1),2)+1)+27)=$B$58,MONTH((DATE($B$58,$A$58,1)-WEEKDAY(DATE($B$58,$A$58,1),2)+1)+27)=$A$58),((DATE($B$58,$A$58,1)-WEEKDAY(DATE($B$58,$A$58,1),2)+1)+27), "")</f>
        <v>43002</v>
      </c>
      <c r="X63" s="155"/>
      <c r="Y63" s="230">
        <f t="shared" si="10"/>
        <v>42</v>
      </c>
      <c r="Z63" s="196">
        <f>IF(AND(YEAR((DATE($B$59,$A$59,1)-WEEKDAY(DATE($B$59,$A$59,1),2)+1)+21)=$B$59,MONTH((DATE($B$59,$A$59,1)-WEEKDAY(DATE($B$59,$A$59,1),2)+1)+21)=$A$59),((DATE($B$59,$A$59,1)-WEEKDAY(DATE($B$59,$A$59,1),2)+1)+21), "")</f>
        <v>43024</v>
      </c>
      <c r="AA63" s="196">
        <f>IF(AND(YEAR((DATE($B$59,$A$59,1)-WEEKDAY(DATE($B$59,$A$59,1),2)+1)+22)=$B$59,MONTH((DATE($B$59,$A$59,1)-WEEKDAY(DATE($B$59,$A$59,1),2)+1)+22)=$A$59),((DATE($B$59,$A$59,1)-WEEKDAY(DATE($B$59,$A$59,1),2)+1)+22), "")</f>
        <v>43025</v>
      </c>
      <c r="AB63" s="196">
        <f>IF(AND(YEAR((DATE($B$59,$A$59,1)-WEEKDAY(DATE($B$59,$A$59,1),2)+1)+23)=$B$59,MONTH((DATE($B$59,$A$59,1)-WEEKDAY(DATE($B$59,$A$59,1),2)+1)+23)=$A$59),((DATE($B$59,$A$59,1)-WEEKDAY(DATE($B$59,$A$59,1),2)+1)+23), "")</f>
        <v>43026</v>
      </c>
      <c r="AC63" s="196">
        <f>IF(AND(YEAR((DATE($B$59,$A$59,1)-WEEKDAY(DATE($B$59,$A$59,1),2)+1)+24)=$B$59,MONTH((DATE($B$59,$A$59,1)-WEEKDAY(DATE($B$59,$A$59,1),2)+1)+24)=$A$59),((DATE($B$59,$A$59,1)-WEEKDAY(DATE($B$59,$A$59,1),2)+1)+24), "")</f>
        <v>43027</v>
      </c>
      <c r="AD63" s="196">
        <f>IF(AND(YEAR((DATE($B$59,$A$59,1)-WEEKDAY(DATE($B$59,$A$59,1),2)+1)+25)=$B$59,MONTH((DATE($B$59,$A$59,1)-WEEKDAY(DATE($B$59,$A$59,1),2)+1)+25)=$A$59),((DATE($B$59,$A$59,1)-WEEKDAY(DATE($B$59,$A$59,1),2)+1)+25), "")</f>
        <v>43028</v>
      </c>
      <c r="AE63" s="197">
        <f>IF(AND(YEAR((DATE($B$59,$A$59,1)-WEEKDAY(DATE($B$59,$A$59,1),2)+1)+26)=$B$59,MONTH((DATE($B$59,$A$59,1)-WEEKDAY(DATE($B$59,$A$59,1),2)+1)+26)=$A$59),((DATE($B$59,$A$59,1)-WEEKDAY(DATE($B$59,$A$59,1),2)+1)+26), "")</f>
        <v>43029</v>
      </c>
      <c r="AF63" s="198">
        <f>IF(AND(YEAR((DATE($B$59,$A$59,1)-WEEKDAY(DATE($B$59,$A$59,1),2)+1)+27)=$B$59,MONTH((DATE($B$59,$A$59,1)-WEEKDAY(DATE($B$59,$A$59,1),2)+1)+27)=$A$59),((DATE($B$59,$A$59,1)-WEEKDAY(DATE($B$59,$A$59,1),2)+1)+27), "")</f>
        <v>43030</v>
      </c>
      <c r="AG63" s="155"/>
      <c r="AH63" s="230">
        <f t="shared" si="11"/>
        <v>47</v>
      </c>
      <c r="AI63" s="196">
        <f>IF(AND(YEAR((DATE($B$60,$A$60,1)-WEEKDAY(DATE($B$60,$A$60,1),2)+1)+21)=$B$60,MONTH((DATE($B$60,$A$60,1)-WEEKDAY(DATE($B$60,$A$60,1),2)+1)+21)=$A$60),((DATE($B$60,$A$60,1)-WEEKDAY(DATE($B$60,$A$60,1),2)+1)+21), "")</f>
        <v>43059</v>
      </c>
      <c r="AJ63" s="196">
        <f>IF(AND(YEAR((DATE($B$60,$A$60,1)-WEEKDAY(DATE($B$60,$A$60,1),2)+1)+22)=$B$60,MONTH((DATE($B$60,$A$60,1)-WEEKDAY(DATE($B$60,$A$60,1),2)+1)+22)=$A$60),((DATE($B$60,$A$60,1)-WEEKDAY(DATE($B$60,$A$60,1),2)+1)+22), "")</f>
        <v>43060</v>
      </c>
      <c r="AK63" s="196">
        <f>IF(AND(YEAR((DATE($B$60,$A$60,1)-WEEKDAY(DATE($B$60,$A$60,1),2)+1)+23)=$B$60,MONTH((DATE($B$60,$A$60,1)-WEEKDAY(DATE($B$60,$A$60,1),2)+1)+23)=$A$60),((DATE($B$60,$A$60,1)-WEEKDAY(DATE($B$60,$A$60,1),2)+1)+23), "")</f>
        <v>43061</v>
      </c>
      <c r="AL63" s="196">
        <f>IF(AND(YEAR((DATE($B$60,$A$60,1)-WEEKDAY(DATE($B$60,$A$60,1),2)+1)+24)=$B$60,MONTH((DATE($B$60,$A$60,1)-WEEKDAY(DATE($B$60,$A$60,1),2)+1)+24)=$A$60),((DATE($B$60,$A$60,1)-WEEKDAY(DATE($B$60,$A$60,1),2)+1)+24), "")</f>
        <v>43062</v>
      </c>
      <c r="AM63" s="196">
        <f>IF(AND(YEAR((DATE($B$60,$A$60,1)-WEEKDAY(DATE($B$60,$A$60,1),2)+1)+25)=$B$60,MONTH((DATE($B$60,$A$60,1)-WEEKDAY(DATE($B$60,$A$60,1),2)+1)+25)=$A$60),((DATE($B$60,$A$60,1)-WEEKDAY(DATE($B$60,$A$60,1),2)+1)+25), "")</f>
        <v>43063</v>
      </c>
      <c r="AN63" s="197">
        <f>IF(AND(YEAR((DATE($B$60,$A$60,1)-WEEKDAY(DATE($B$60,$A$60,1),2)+1)+26)=$B$60,MONTH((DATE($B$60,$A$60,1)-WEEKDAY(DATE($B$60,$A$60,1),2)+1)+26)=$A$60),((DATE($B$60,$A$60,1)-WEEKDAY(DATE($B$60,$A$60,1),2)+1)+26), "")</f>
        <v>43064</v>
      </c>
      <c r="AO63" s="198">
        <f>IF(AND(YEAR((DATE($B$60,$A$60,1)-WEEKDAY(DATE($B$60,$A$60,1),2)+1)+27)=$B$60,MONTH((DATE($B$60,$A$60,1)-WEEKDAY(DATE($B$60,$A$60,1),2)+1)+27)=$A$60),((DATE($B$60,$A$60,1)-WEEKDAY(DATE($B$60,$A$60,1),2)+1)+27), "")</f>
        <v>43065</v>
      </c>
      <c r="AQ63" s="202" t="s">
        <v>184</v>
      </c>
      <c r="AR63" s="228">
        <v>7</v>
      </c>
    </row>
    <row r="64" spans="1:44" x14ac:dyDescent="0.25">
      <c r="A64" s="161"/>
      <c r="B64" s="159"/>
      <c r="C64" s="159"/>
      <c r="D64" s="160"/>
      <c r="F64" s="230">
        <f t="shared" si="8"/>
        <v>35</v>
      </c>
      <c r="G64" s="196">
        <f>IF(AND(YEAR((DATE($B$57,$A$57,1)-WEEKDAY(DATE($B$57,$A$57,1),2)+1)+28)=$B$57,MONTH((DATE($B$57,$A$57,1)-WEEKDAY(DATE($B$57,$A$57,1),2)+1)+28)=$A$57),((DATE($B$57,$A$57,1)-WEEKDAY(DATE($B$57,$A$57,1),2)+1)+28), "")</f>
        <v>42975</v>
      </c>
      <c r="H64" s="196">
        <f>IF(AND(YEAR((DATE($B$57,$A$57,1)-WEEKDAY(DATE($B$57,$A$57,1),2)+1)+29)=$B$57,MONTH((DATE($B$57,$A$57,1)-WEEKDAY(DATE($B$57,$A$57,1),2)+1)+29)=$A$57),((DATE($B$57,$A$57,1)-WEEKDAY(DATE($B$57,$A$57,1),2)+1)+29), "")</f>
        <v>42976</v>
      </c>
      <c r="I64" s="196">
        <f>IF(AND(YEAR((DATE($B$57,$A$57,1)-WEEKDAY(DATE($B$57,$A$57,1),2)+1)+30)=$B$57,MONTH((DATE($B$57,$A$57,1)-WEEKDAY(DATE($B$57,$A$57,1),2)+1)+30)=$A$57),((DATE($B$57,$A$57,1)-WEEKDAY(DATE($B$57,$A$57,1),2)+1)+30), "")</f>
        <v>42977</v>
      </c>
      <c r="J64" s="196">
        <f>IF(AND(YEAR((DATE($B$57,$A$57,1)-WEEKDAY(DATE($B$57,$A$57,1),2)+1)+31)=$B$57,MONTH((DATE($B$57,$A$57,1)-WEEKDAY(DATE($B$57,$A$57,1),2)+1)+31)=$A$57),((DATE($B$57,$A$57,1)-WEEKDAY(DATE($B$57,$A$57,1),2)+1)+31), "")</f>
        <v>42978</v>
      </c>
      <c r="K64" s="196" t="str">
        <f>IF(AND(YEAR((DATE($B$57,$A$57,1)-WEEKDAY(DATE($B$57,$A$57,1),2)+1)+32)=$B$57,MONTH((DATE($B$57,$A$57,1)-WEEKDAY(DATE($B$57,$A$57,1),2)+1)+32)=$A$57),((DATE($B$57,$A$57,1)-WEEKDAY(DATE($B$57,$A$57,1),2)+1)+32), "")</f>
        <v/>
      </c>
      <c r="L64" s="197" t="str">
        <f>IF(AND(YEAR((DATE($B$57,$A$57,1)-WEEKDAY(DATE($B$57,$A$57,1),2)+1)+33)=$B$57,MONTH((DATE($B$57,$A$57,1)-WEEKDAY(DATE($B$57,$A$57,1),2)+1)+33)=$A$57),((DATE($B$57,$A$57,1)-WEEKDAY(DATE($B$57,$A$57,1),2)+1)+33), "")</f>
        <v/>
      </c>
      <c r="M64" s="198" t="str">
        <f>IF(AND(YEAR((DATE($B$57,$A$57,1)-WEEKDAY(DATE($B$57,$A$57,1),2)+1)+34)=$B$57,MONTH((DATE($B$57,$A$57,1)-WEEKDAY(DATE($B$57,$A$57,1),2)+1)+34)=$A$57),((DATE($B$57,$A$57,1)-WEEKDAY(DATE($B$57,$A$57,1),2)+1)+34), "")</f>
        <v/>
      </c>
      <c r="N64" s="155"/>
      <c r="O64" s="230">
        <f t="shared" si="9"/>
        <v>39</v>
      </c>
      <c r="P64" s="196">
        <f>IF(AND(YEAR((DATE($B$58,$A$58,1)-WEEKDAY(DATE($B$58,$A$58,1),2)+1)+28)=$B$58,MONTH((DATE($B$58,$A$58,1)-WEEKDAY(DATE($B$58,$A$58,1),2)+1)+28)=$A$58),((DATE($B$58,$A$58,1)-WEEKDAY(DATE($B$58,$A$58,1),2)+1)+28), "")</f>
        <v>43003</v>
      </c>
      <c r="Q64" s="196">
        <f>IF(AND(YEAR((DATE($B$58,$A$58,1)-WEEKDAY(DATE($B$58,$A$58,1),2)+1)+29)=$B$58,MONTH((DATE($B$58,$A$58,1)-WEEKDAY(DATE($B$58,$A$58,1),2)+1)+29)=$A$58),((DATE($B$58,$A$58,1)-WEEKDAY(DATE($B$58,$A$58,1),2)+1)+29), "")</f>
        <v>43004</v>
      </c>
      <c r="R64" s="196">
        <f>IF(AND(YEAR((DATE($B$58,$A$58,1)-WEEKDAY(DATE($B$58,$A$58,1),2)+1)+30)=$B$58,MONTH((DATE($B$58,$A$58,1)-WEEKDAY(DATE($B$58,$A$58,1),2)+1)+30)=$A$58),((DATE($B$58,$A$58,1)-WEEKDAY(DATE($B$58,$A$58,1),2)+1)+30), "")</f>
        <v>43005</v>
      </c>
      <c r="S64" s="196">
        <f>IF(AND(YEAR((DATE($B$58,$A$58,1)-WEEKDAY(DATE($B$58,$A$58,1),2)+1)+31)=$B$58,MONTH((DATE($B$58,$A$58,1)-WEEKDAY(DATE($B$58,$A$58,1),2)+1)+31)=$A$58),((DATE($B$58,$A$58,1)-WEEKDAY(DATE($B$58,$A$58,1),2)+1)+31), "")</f>
        <v>43006</v>
      </c>
      <c r="T64" s="196">
        <f>IF(AND(YEAR((DATE($B$58,$A$58,1)-WEEKDAY(DATE($B$58,$A$58,1),2)+1)+32)=$B$58,MONTH((DATE($B$58,$A$58,1)-WEEKDAY(DATE($B$58,$A$58,1),2)+1)+32)=$A$58),((DATE($B$58,$A$58,1)-WEEKDAY(DATE($B$58,$A$58,1),2)+1)+32), "")</f>
        <v>43007</v>
      </c>
      <c r="U64" s="221">
        <f>IF(AND(YEAR((DATE($B$58,$A$58,1)-WEEKDAY(DATE($B$58,$A$58,1),2)+1)+33)=$B$58,MONTH((DATE($B$58,$A$58,1)-WEEKDAY(DATE($B$58,$A$58,1),2)+1)+33)=$A$58),((DATE($B$58,$A$58,1)-WEEKDAY(DATE($B$58,$A$58,1),2)+1)+33), "")</f>
        <v>43008</v>
      </c>
      <c r="V64" s="221"/>
      <c r="W64" s="198" t="str">
        <f>IF(AND(YEAR((DATE($B$58,$A$58,1)-WEEKDAY(DATE($B$58,$A$58,1),2)+1)+34)=$B$58,MONTH((DATE($B$58,$A$58,1)-WEEKDAY(DATE($B$58,$A$58,1),2)+1)+34)=$A$58),((DATE($B$58,$A$58,1)-WEEKDAY(DATE($B$58,$A$58,1),2)+1)+34), "")</f>
        <v/>
      </c>
      <c r="X64" s="155"/>
      <c r="Y64" s="230">
        <f t="shared" si="10"/>
        <v>43</v>
      </c>
      <c r="Z64" s="196">
        <f>IF(AND(YEAR((DATE($B$59,$A$59,1)-WEEKDAY(DATE($B$59,$A$59,1),2)+1)+28)=$B$59,MONTH((DATE($B$59,$A$59,1)-WEEKDAY(DATE($B$59,$A$59,1),2)+1)+28)=$A$59),((DATE($B$59,$A$59,1)-WEEKDAY(DATE($B$59,$A$59,1),2)+1)+28), "")</f>
        <v>43031</v>
      </c>
      <c r="AA64" s="196">
        <f>IF(AND(YEAR((DATE($B$59,$A$59,1)-WEEKDAY(DATE($B$59,$A$59,1),2)+1)+29)=$B$59,MONTH((DATE($B$59,$A$59,1)-WEEKDAY(DATE($B$59,$A$59,1),2)+1)+29)=$A$59),((DATE($B$59,$A$59,1)-WEEKDAY(DATE($B$59,$A$59,1),2)+1)+29), "")</f>
        <v>43032</v>
      </c>
      <c r="AB64" s="196">
        <f>IF(AND(YEAR((DATE($B$59,$A$59,1)-WEEKDAY(DATE($B$59,$A$59,1),2)+1)+30)=$B$59,MONTH((DATE($B$59,$A$59,1)-WEEKDAY(DATE($B$59,$A$59,1),2)+1)+30)=$A$59),((DATE($B$59,$A$59,1)-WEEKDAY(DATE($B$59,$A$59,1),2)+1)+30), "")</f>
        <v>43033</v>
      </c>
      <c r="AC64" s="196">
        <f>IF(AND(YEAR((DATE($B$59,$A$59,1)-WEEKDAY(DATE($B$59,$A$59,1),2)+1)+31)=$B$59,MONTH((DATE($B$59,$A$59,1)-WEEKDAY(DATE($B$59,$A$59,1),2)+1)+31)=$A$59),((DATE($B$59,$A$59,1)-WEEKDAY(DATE($B$59,$A$59,1),2)+1)+31), "")</f>
        <v>43034</v>
      </c>
      <c r="AD64" s="196">
        <f>IF(AND(YEAR((DATE($B$59,$A$59,1)-WEEKDAY(DATE($B$59,$A$59,1),2)+1)+32)=$B$59,MONTH((DATE($B$59,$A$59,1)-WEEKDAY(DATE($B$59,$A$59,1),2)+1)+32)=$A$59),((DATE($B$59,$A$59,1)-WEEKDAY(DATE($B$59,$A$59,1),2)+1)+32), "")</f>
        <v>43035</v>
      </c>
      <c r="AE64" s="197">
        <f>IF(AND(YEAR((DATE($B$59,$A$59,1)-WEEKDAY(DATE($B$59,$A$59,1),2)+1)+33)=$B$59,MONTH((DATE($B$59,$A$59,1)-WEEKDAY(DATE($B$59,$A$59,1),2)+1)+33)=$A$59),((DATE($B$59,$A$59,1)-WEEKDAY(DATE($B$59,$A$59,1),2)+1)+33), "")</f>
        <v>43036</v>
      </c>
      <c r="AF64" s="198">
        <f>IF(AND(YEAR((DATE($B$59,$A$59,1)-WEEKDAY(DATE($B$59,$A$59,1),2)+1)+34)=$B$59,MONTH((DATE($B$59,$A$59,1)-WEEKDAY(DATE($B$59,$A$59,1),2)+1)+34)=$A$59),((DATE($B$59,$A$59,1)-WEEKDAY(DATE($B$59,$A$59,1),2)+1)+34), "")</f>
        <v>43037</v>
      </c>
      <c r="AG64" s="155"/>
      <c r="AH64" s="230">
        <f t="shared" si="11"/>
        <v>48</v>
      </c>
      <c r="AI64" s="196">
        <f>IF(AND(YEAR((DATE($B$60,$A$60,1)-WEEKDAY(DATE($B$60,$A$60,1),2)+1)+28)=$B$60,MONTH((DATE($B$60,$A$60,1)-WEEKDAY(DATE($B$60,$A$60,1),2)+1)+28)=$A$60),((DATE($B$60,$A$60,1)-WEEKDAY(DATE($B$60,$A$60,1),2)+1)+28), "")</f>
        <v>43066</v>
      </c>
      <c r="AJ64" s="196">
        <f>IF(AND(YEAR((DATE($B$60,$A$60,1)-WEEKDAY(DATE($B$60,$A$60,1),2)+1)+29)=$B$60,MONTH((DATE($B$60,$A$60,1)-WEEKDAY(DATE($B$60,$A$60,1),2)+1)+29)=$A$60),((DATE($B$60,$A$60,1)-WEEKDAY(DATE($B$60,$A$60,1),2)+1)+29), "")</f>
        <v>43067</v>
      </c>
      <c r="AK64" s="196">
        <f>IF(AND(YEAR((DATE($B$60,$A$60,1)-WEEKDAY(DATE($B$60,$A$60,1),2)+1)+30)=$B$60,MONTH((DATE($B$60,$A$60,1)-WEEKDAY(DATE($B$60,$A$60,1),2)+1)+30)=$A$60),((DATE($B$60,$A$60,1)-WEEKDAY(DATE($B$60,$A$60,1),2)+1)+30), "")</f>
        <v>43068</v>
      </c>
      <c r="AL64" s="196">
        <f>IF(AND(YEAR((DATE($B$60,$A$60,1)-WEEKDAY(DATE($B$60,$A$60,1),2)+1)+31)=$B$60,MONTH((DATE($B$60,$A$60,1)-WEEKDAY(DATE($B$60,$A$60,1),2)+1)+31)=$A$60),((DATE($B$60,$A$60,1)-WEEKDAY(DATE($B$60,$A$60,1),2)+1)+31), "")</f>
        <v>43069</v>
      </c>
      <c r="AM64" s="196" t="str">
        <f>IF(AND(YEAR((DATE($B$60,$A$60,1)-WEEKDAY(DATE($B$60,$A$60,1),2)+1)+32)=$B$60,MONTH((DATE($B$60,$A$60,1)-WEEKDAY(DATE($B$60,$A$60,1),2)+1)+32)=$A$60),((DATE($B$60,$A$60,1)-WEEKDAY(DATE($B$60,$A$60,1),2)+1)+32), "")</f>
        <v/>
      </c>
      <c r="AN64" s="197" t="str">
        <f>IF(AND(YEAR((DATE($B$60,$A$60,1)-WEEKDAY(DATE($B$60,$A$60,1),2)+1)+33)=$B$60,MONTH((DATE($B$60,$A$60,1)-WEEKDAY(DATE($B$60,$A$60,1),2)+1)+33)=$A$60),((DATE($B$60,$A$60,1)-WEEKDAY(DATE($B$60,$A$60,1),2)+1)+33), "")</f>
        <v/>
      </c>
      <c r="AO64" s="198" t="str">
        <f>IF(AND(YEAR((DATE($B$60,$A$60,1)-WEEKDAY(DATE($B$60,$A$60,1),2)+1)+34)=$B$60,MONTH((DATE($B$60,$A$60,1)-WEEKDAY(DATE($B$60,$A$60,1),2)+1)+34)=$A$60),((DATE($B$60,$A$60,1)-WEEKDAY(DATE($B$60,$A$60,1),2)+1)+34), "")</f>
        <v/>
      </c>
      <c r="AQ64" s="202" t="s">
        <v>185</v>
      </c>
      <c r="AR64" s="232">
        <v>14</v>
      </c>
    </row>
    <row r="65" spans="1:44" ht="15.75" thickBot="1" x14ac:dyDescent="0.3">
      <c r="A65" s="163"/>
      <c r="B65" s="164"/>
      <c r="C65" s="164"/>
      <c r="D65" s="165"/>
      <c r="F65" s="230" t="str">
        <f>IF(G65="","",WEEKNUM(G65,21))</f>
        <v/>
      </c>
      <c r="G65" s="199" t="str">
        <f>IF(AND(YEAR((DATE($B$57,$A$57,1)-WEEKDAY(DATE($B$57,$A$57,1),2)+1)+35)=$B$57,MONTH((DATE($B$57,$A$57,1)-WEEKDAY(DATE($B$57,$A$57,1),2)+1)+35)=$A$57),((DATE($B$57,$A$57,1)-WEEKDAY(DATE($B$57,$A$57,1),2)+1)+35), "")</f>
        <v/>
      </c>
      <c r="H65" s="199" t="str">
        <f>IF(AND(YEAR((DATE($B$57,$A$57,1)-WEEKDAY(DATE($B$57,$A$57,1),2)+1)+36)=$B$57,MONTH((DATE($B$57,$A$57,1)-WEEKDAY(DATE($B$57,$A$57,1),2)+1)+36)=$A$57),((DATE($B$57,$A$57,1)-WEEKDAY(DATE($B$57,$A$57,1),2)+1)+36), "")</f>
        <v/>
      </c>
      <c r="I65" s="199" t="str">
        <f>IF(AND(YEAR((DATE($B$57,$A$57,1)-WEEKDAY(DATE($B$57,$A$57,1),2)+1)+37)=$B$57,MONTH((DATE($B$57,$A$57,1)-WEEKDAY(DATE($B$57,$A$57,1),2)+1)+37)=$A$57),((DATE($B$57,$A$57,1)-WEEKDAY(DATE($B$57,$A$57,1),2)+1)+37), "")</f>
        <v/>
      </c>
      <c r="J65" s="199" t="str">
        <f>IF(AND(YEAR((DATE($B$57,$A$57,1)-WEEKDAY(DATE($B$57,$A$57,1),2)+1)+38)=$B$57,MONTH((DATE($B$57,$A$57,1)-WEEKDAY(DATE($B$57,$A$57,1),2)+1)+38)=$A$57),((DATE($B$57,$A$57,1)-WEEKDAY(DATE($B$57,$A$57,1),2)+1)+38), "")</f>
        <v/>
      </c>
      <c r="K65" s="199" t="str">
        <f>IF(AND(YEAR((DATE($B$57,$A$57,1)-WEEKDAY(DATE($B$57,$A$57,1),2)+1)+39)=$B$57,MONTH((DATE($B$57,$A$57,1)-WEEKDAY(DATE($B$57,$A$57,1),2)+1)+39)=$A$57),((DATE($B$57,$A$57,1)-WEEKDAY(DATE($B$57,$A$57,1),2)+1)+39), "")</f>
        <v/>
      </c>
      <c r="L65" s="200" t="str">
        <f>IF(AND(YEAR((DATE($B$57,$A$57,1)-WEEKDAY(DATE($B$57,$A$57,1),2)+1)+40)=$B$57,MONTH((DATE($B$57,$A$57,1)-WEEKDAY(DATE($B$57,$A$57,1),2)+1)+40)=$A$57),((DATE($B$57,$A$57,1)-WEEKDAY(DATE($B$57,$A$57,1),2)+1)+40), "")</f>
        <v/>
      </c>
      <c r="M65" s="201" t="str">
        <f>IF(AND(YEAR((DATE($B$57,$A$57,1)-WEEKDAY(DATE($B$57,$A$57,1),2)+1)+41)=$B$57,MONTH((DATE($B$57,$A$57,1)-WEEKDAY(DATE($B$57,$A$57,1),2)+1)+41)=$A$57),((DATE($B$57,$A$57,1)-WEEKDAY(DATE($B$57,$A$57,1),2)+1)+41), "")</f>
        <v/>
      </c>
      <c r="N65" s="155"/>
      <c r="O65" s="230" t="str">
        <f>IF(P65="","",WEEKNUM(P65,21))</f>
        <v/>
      </c>
      <c r="P65" s="199" t="str">
        <f>IF(AND(YEAR((DATE($B$58,$A$58,1)-WEEKDAY(DATE($B$58,$A$58,1),2)+1)+35)=$B$58,MONTH((DATE($B$58,$A$58,1)-WEEKDAY(DATE($B$58,$A$58,1),2)+1)+35)=$A$58),((DATE($B$58,$A$58,1)-WEEKDAY(DATE($B$58,$A$58,1),2)+1)+35), "")</f>
        <v/>
      </c>
      <c r="Q65" s="199" t="str">
        <f>IF(AND(YEAR((DATE($B$58,$A$58,1)-WEEKDAY(DATE($B$58,$A$58,1),2)+1)+36)=$B$58,MONTH((DATE($B$58,$A$58,1)-WEEKDAY(DATE($B$58,$A$58,1),2)+1)+36)=$A$58),((DATE($B$58,$A$58,1)-WEEKDAY(DATE($B$58,$A$58,1),2)+1)+36), "")</f>
        <v/>
      </c>
      <c r="R65" s="199" t="str">
        <f>IF(AND(YEAR((DATE($B$58,$A$58,1)-WEEKDAY(DATE($B$58,$A$58,1),2)+1)+37)=$B$58,MONTH((DATE($B$58,$A$58,1)-WEEKDAY(DATE($B$58,$A$58,1),2)+1)+37)=$A$58),((DATE($B$58,$A$58,1)-WEEKDAY(DATE($B$58,$A$58,1),2)+1)+37), "")</f>
        <v/>
      </c>
      <c r="S65" s="199" t="str">
        <f>IF(AND(YEAR((DATE($B$58,$A$58,1)-WEEKDAY(DATE($B$58,$A$58,1),2)+1)+38)=$B$58,MONTH((DATE($B$58,$A$58,1)-WEEKDAY(DATE($B$58,$A$58,1),2)+1)+38)=$A$58),((DATE($B$58,$A$58,1)-WEEKDAY(DATE($B$58,$A$58,1),2)+1)+38), "")</f>
        <v/>
      </c>
      <c r="T65" s="199" t="str">
        <f>IF(AND(YEAR((DATE($B$58,$A$58,1)-WEEKDAY(DATE($B$58,$A$58,1),2)+1)+39)=$B$58,MONTH((DATE($B$58,$A$58,1)-WEEKDAY(DATE($B$58,$A$58,1),2)+1)+39)=$A$58),((DATE($B$58,$A$58,1)-WEEKDAY(DATE($B$58,$A$58,1),2)+1)+39), "")</f>
        <v/>
      </c>
      <c r="U65" s="223" t="str">
        <f>IF(AND(YEAR((DATE($B$58,$A$58,1)-WEEKDAY(DATE($B$58,$A$58,1),2)+1)+40)=$B$58,MONTH((DATE($B$58,$A$58,1)-WEEKDAY(DATE($B$58,$A$58,1),2)+1)+40)=$A$58),((DATE($B$58,$A$58,1)-WEEKDAY(DATE($B$58,$A$58,1),2)+1)+40), "")</f>
        <v/>
      </c>
      <c r="V65" s="223"/>
      <c r="W65" s="201" t="str">
        <f>IF(AND(YEAR((DATE($B$58,$A$58,1)-WEEKDAY(DATE($B$58,$A$58,1),2)+1)+41)=$B$58,MONTH((DATE($B$58,$A$58,1)-WEEKDAY(DATE($B$58,$A$58,1),2)+1)+41)=$A$58),((DATE($B$58,$A$58,1)-WEEKDAY(DATE($B$58,$A$58,1),2)+1)+41), "")</f>
        <v/>
      </c>
      <c r="X65" s="155"/>
      <c r="Y65" s="230">
        <f>IF(Z65="","",WEEKNUM(Z65,21))</f>
        <v>44</v>
      </c>
      <c r="Z65" s="199">
        <f>IF(AND(YEAR((DATE($B$59,$A$59,1)-WEEKDAY(DATE($B$59,$A$59,1),2)+1)+35)=$B$59,MONTH((DATE($B$59,$A$59,1)-WEEKDAY(DATE($B$59,$A$59,1),2)+1)+35)=$A$59),((DATE($B$59,$A$59,1)-WEEKDAY(DATE($B$59,$A$59,1),2)+1)+35), "")</f>
        <v>43038</v>
      </c>
      <c r="AA65" s="199">
        <f>IF(AND(YEAR((DATE($B$59,$A$59,1)-WEEKDAY(DATE($B$59,$A$59,1),2)+1)+36)=$B$59,MONTH((DATE($B$59,$A$59,1)-WEEKDAY(DATE($B$59,$A$59,1),2)+1)+36)=$A$59),((DATE($B$59,$A$59,1)-WEEKDAY(DATE($B$59,$A$59,1),2)+1)+36), "")</f>
        <v>43039</v>
      </c>
      <c r="AB65" s="199" t="str">
        <f>IF(AND(YEAR((DATE($B$59,$A$59,1)-WEEKDAY(DATE($B$59,$A$59,1),2)+1)+37)=$B$59,MONTH((DATE($B$59,$A$59,1)-WEEKDAY(DATE($B$59,$A$59,1),2)+1)+37)=$A$59),((DATE($B$59,$A$59,1)-WEEKDAY(DATE($B$59,$A$59,1),2)+1)+37), "")</f>
        <v/>
      </c>
      <c r="AC65" s="199" t="str">
        <f>IF(AND(YEAR((DATE($B$59,$A$59,1)-WEEKDAY(DATE($B$59,$A$59,1),2)+1)+38)=$B$59,MONTH((DATE($B$59,$A$59,1)-WEEKDAY(DATE($B$59,$A$59,1),2)+1)+38)=$A$59),((DATE($B$59,$A$59,1)-WEEKDAY(DATE($B$59,$A$59,1),2)+1)+38), "")</f>
        <v/>
      </c>
      <c r="AD65" s="199" t="str">
        <f>IF(AND(YEAR((DATE($B$59,$A$59,1)-WEEKDAY(DATE($B$59,$A$59,1),2)+1)+39)=$B$59,MONTH((DATE($B$59,$A$59,1)-WEEKDAY(DATE($B$59,$A$59,1),2)+1)+39)=$A$59),((DATE($B$59,$A$59,1)-WEEKDAY(DATE($B$59,$A$59,1),2)+1)+39), "")</f>
        <v/>
      </c>
      <c r="AE65" s="200" t="str">
        <f>IF(AND(YEAR((DATE($B$59,$A$59,1)-WEEKDAY(DATE($B$59,$A$59,1),2)+1)+40)=$B$59,MONTH((DATE($B$59,$A$59,1)-WEEKDAY(DATE($B$59,$A$59,1),2)+1)+40)=$A$59),((DATE($B$59,$A$59,1)-WEEKDAY(DATE($B$59,$A$59,1),2)+1)+40), "")</f>
        <v/>
      </c>
      <c r="AF65" s="201" t="str">
        <f>IF(AND(YEAR((DATE($B$59,$A$59,1)-WEEKDAY(DATE($B$59,$A$59,1),2)+1)+41)=$B$59,MONTH((DATE($B$59,$A$59,1)-WEEKDAY(DATE($B$59,$A$59,1),2)+1)+41)=$A$59),((DATE($B$59,$A$59,1)-WEEKDAY(DATE($B$59,$A$59,1),2)+1)+41), "")</f>
        <v/>
      </c>
      <c r="AG65" s="155"/>
      <c r="AH65" s="230" t="str">
        <f>IF(AI65="","",WEEKNUM(AI65,21))</f>
        <v/>
      </c>
      <c r="AI65" s="199" t="str">
        <f>IF(AND(YEAR((DATE($B$60,$A$60,1)-WEEKDAY(DATE($B$60,$A$60,1),2)+1)+35)=$B$60,MONTH((DATE($B$60,$A$60,1)-WEEKDAY(DATE($B$60,$A$60,1),2)+1)+35)=$A$60),((DATE($B$60,$A$60,1)-WEEKDAY(DATE($B$60,$A$60,1),2)+1)+35), "")</f>
        <v/>
      </c>
      <c r="AJ65" s="199" t="str">
        <f>IF(AND(YEAR((DATE($B$60,$A$60,1)-WEEKDAY(DATE($B$60,$A$60,1),2)+1)+36)=$B$60,MONTH((DATE($B$60,$A$60,1)-WEEKDAY(DATE($B$60,$A$60,1),2)+1)+36)=$A$60),((DATE($B$60,$A$60,1)-WEEKDAY(DATE($B$60,$A$60,1),2)+1)+36), "")</f>
        <v/>
      </c>
      <c r="AK65" s="199" t="str">
        <f>IF(AND(YEAR((DATE($B$60,$A$60,1)-WEEKDAY(DATE($B$60,$A$60,1),2)+1)+37)=$B$60,MONTH((DATE($B$60,$A$60,1)-WEEKDAY(DATE($B$60,$A$60,1),2)+1)+37)=$A$60),((DATE($B$60,$A$60,1)-WEEKDAY(DATE($B$60,$A$60,1),2)+1)+37), "")</f>
        <v/>
      </c>
      <c r="AL65" s="199" t="str">
        <f>IF(AND(YEAR((DATE($B$60,$A$60,1)-WEEKDAY(DATE($B$60,$A$60,1),2)+1)+38)=$B$60,MONTH((DATE($B$60,$A$60,1)-WEEKDAY(DATE($B$60,$A$60,1),2)+1)+38)=$A$60),((DATE($B$60,$A$60,1)-WEEKDAY(DATE($B$60,$A$60,1),2)+1)+38), "")</f>
        <v/>
      </c>
      <c r="AM65" s="199" t="str">
        <f>IF(AND(YEAR((DATE($B$60,$A$60,1)-WEEKDAY(DATE($B$60,$A$60,1),2)+1)+39)=$B$60,MONTH((DATE($B$60,$A$60,1)-WEEKDAY(DATE($B$60,$A$60,1),2)+1)+39)=$A$60),((DATE($B$60,$A$60,1)-WEEKDAY(DATE($B$60,$A$60,1),2)+1)+39), "")</f>
        <v/>
      </c>
      <c r="AN65" s="200" t="str">
        <f>IF(AND(YEAR((DATE($B$60,$A$60,1)-WEEKDAY(DATE($B$60,$A$60,1),2)+1)+40)=$B$60,MONTH((DATE($B$60,$A$60,1)-WEEKDAY(DATE($B$60,$A$60,1),2)+1)+40)=$A$60),((DATE($B$60,$A$60,1)-WEEKDAY(DATE($B$60,$A$60,1),2)+1)+40), "")</f>
        <v/>
      </c>
      <c r="AO65" s="201" t="str">
        <f>IF(AND(YEAR((DATE($B$60,$A$60,1)-WEEKDAY(DATE($B$60,$A$60,1),2)+1)+41)=$B$60,MONTH((DATE($B$60,$A$60,1)-WEEKDAY(DATE($B$60,$A$60,1),2)+1)+41)=$A$60),((DATE($B$60,$A$60,1)-WEEKDAY(DATE($B$60,$A$60,1),2)+1)+41), "")</f>
        <v/>
      </c>
      <c r="AQ65" s="205"/>
      <c r="AR65" s="206" t="s">
        <v>42</v>
      </c>
    </row>
  </sheetData>
  <sheetProtection algorithmName="SHA-512" hashValue="rc4UZDp0F8Zlnp9Douxjp7QA0Cx+Efxlne8D8XEaNsSe/d+PuzGLsNfOHgvCu5YfoK31I22E2yg3j595w5ck/g==" saltValue="liMqLqGJgZZ2P/cC5AoVEA==" spinCount="100000" sheet="1" objects="1" scenarios="1" selectLockedCells="1"/>
  <mergeCells count="43">
    <mergeCell ref="M2:AP2"/>
    <mergeCell ref="M3:AP3"/>
    <mergeCell ref="M4:AP4"/>
    <mergeCell ref="U60:V60"/>
    <mergeCell ref="U61:V61"/>
    <mergeCell ref="U62:V62"/>
    <mergeCell ref="U63:V63"/>
    <mergeCell ref="U64:V64"/>
    <mergeCell ref="R32:T32"/>
    <mergeCell ref="R33:T33"/>
    <mergeCell ref="R34:T34"/>
    <mergeCell ref="R35:T35"/>
    <mergeCell ref="R36:T36"/>
    <mergeCell ref="R45:T45"/>
    <mergeCell ref="R46:T46"/>
    <mergeCell ref="Q39:T39"/>
    <mergeCell ref="Q42:T42"/>
    <mergeCell ref="R38:T38"/>
    <mergeCell ref="R41:T41"/>
    <mergeCell ref="R44:T44"/>
    <mergeCell ref="R37:T37"/>
    <mergeCell ref="Q26:T26"/>
    <mergeCell ref="Q30:T30"/>
    <mergeCell ref="R27:T27"/>
    <mergeCell ref="R28:T28"/>
    <mergeCell ref="R29:T29"/>
    <mergeCell ref="G49:M49"/>
    <mergeCell ref="P49:W49"/>
    <mergeCell ref="Z49:AF49"/>
    <mergeCell ref="AI49:AO49"/>
    <mergeCell ref="G58:M58"/>
    <mergeCell ref="P58:W58"/>
    <mergeCell ref="Z58:AF58"/>
    <mergeCell ref="AI58:AO58"/>
    <mergeCell ref="U50:V50"/>
    <mergeCell ref="U51:V51"/>
    <mergeCell ref="U52:V52"/>
    <mergeCell ref="U53:V53"/>
    <mergeCell ref="U54:V54"/>
    <mergeCell ref="U55:V55"/>
    <mergeCell ref="U56:V56"/>
    <mergeCell ref="U65:V65"/>
    <mergeCell ref="L12:N12"/>
  </mergeCells>
  <conditionalFormatting sqref="W27">
    <cfRule type="expression" dxfId="146" priority="230">
      <formula>$B$19=FALSE</formula>
    </cfRule>
  </conditionalFormatting>
  <conditionalFormatting sqref="W32">
    <cfRule type="expression" dxfId="145" priority="227">
      <formula>$B$19=FALSE</formula>
    </cfRule>
  </conditionalFormatting>
  <conditionalFormatting sqref="W38">
    <cfRule type="expression" dxfId="144" priority="226">
      <formula>$B$9=2</formula>
    </cfRule>
  </conditionalFormatting>
  <conditionalFormatting sqref="AU26:AU46">
    <cfRule type="cellIs" dxfId="143" priority="224" operator="equal">
      <formula>"zaterdag"</formula>
    </cfRule>
    <cfRule type="cellIs" dxfId="142" priority="225" operator="equal">
      <formula>"zondag"</formula>
    </cfRule>
  </conditionalFormatting>
  <conditionalFormatting sqref="Q30 R44:R46">
    <cfRule type="expression" dxfId="141" priority="220">
      <formula>$AT30="zondag"</formula>
    </cfRule>
    <cfRule type="expression" dxfId="140" priority="221">
      <formula>$AT30="zaterdag"</formula>
    </cfRule>
  </conditionalFormatting>
  <conditionalFormatting sqref="T31 T40 T43">
    <cfRule type="expression" dxfId="139" priority="203">
      <formula>COUNTIF($AV$8:$AW$20,$T31)=1</formula>
    </cfRule>
  </conditionalFormatting>
  <conditionalFormatting sqref="V26:V46">
    <cfRule type="expression" dxfId="138" priority="202">
      <formula>COUNTIF($AY$8:$AY$20,$AV26)=1</formula>
    </cfRule>
  </conditionalFormatting>
  <conditionalFormatting sqref="Q30 Q42">
    <cfRule type="expression" dxfId="137" priority="662">
      <formula>COUNTIF($AU$8:$AV$20,$Q30)=1</formula>
    </cfRule>
  </conditionalFormatting>
  <conditionalFormatting sqref="Z51:Z56 AI51:AI56 Z60:Z65 AI60:AI65">
    <cfRule type="cellIs" dxfId="136" priority="148" operator="equal">
      <formula>$AY$20</formula>
    </cfRule>
    <cfRule type="cellIs" dxfId="135" priority="149" operator="equal">
      <formula>$AY$19</formula>
    </cfRule>
    <cfRule type="cellIs" dxfId="134" priority="150" operator="between">
      <formula>$AY$11</formula>
      <formula>$AY$18</formula>
    </cfRule>
    <cfRule type="cellIs" dxfId="133" priority="151" operator="equal">
      <formula>$AY$10</formula>
    </cfRule>
    <cfRule type="cellIs" dxfId="132" priority="152" operator="equal">
      <formula>$AY$9</formula>
    </cfRule>
    <cfRule type="cellIs" dxfId="131" priority="153" operator="equal">
      <formula>$AY$8</formula>
    </cfRule>
  </conditionalFormatting>
  <conditionalFormatting sqref="U26:U46">
    <cfRule type="expression" dxfId="130" priority="71">
      <formula>COUNTIF($AX$8:$AX$20,$AU26)=1</formula>
    </cfRule>
  </conditionalFormatting>
  <conditionalFormatting sqref="Q26 R27:R29 R32:R38">
    <cfRule type="expression" dxfId="129" priority="68">
      <formula>$AT26="zondag"</formula>
    </cfRule>
    <cfRule type="expression" dxfId="128" priority="69">
      <formula>$AT26="zaterdag"</formula>
    </cfRule>
  </conditionalFormatting>
  <conditionalFormatting sqref="Q26">
    <cfRule type="expression" dxfId="127" priority="70">
      <formula>COUNTIF($AU$8:$AV$20,$Q26)=1</formula>
    </cfRule>
  </conditionalFormatting>
  <conditionalFormatting sqref="R27:R29">
    <cfRule type="expression" dxfId="126" priority="1289">
      <formula>COUNTIF($AU$8:$AV$20,$R27)=1</formula>
    </cfRule>
  </conditionalFormatting>
  <conditionalFormatting sqref="R32:R38 R44:R46">
    <cfRule type="expression" dxfId="125" priority="1895">
      <formula>COUNTIF($AU$8:$AV$20,#REF!)=1</formula>
    </cfRule>
  </conditionalFormatting>
  <conditionalFormatting sqref="Q39">
    <cfRule type="expression" dxfId="124" priority="59">
      <formula>$AT39="zondag"</formula>
    </cfRule>
    <cfRule type="expression" dxfId="123" priority="60">
      <formula>$AT39="zaterdag"</formula>
    </cfRule>
  </conditionalFormatting>
  <conditionalFormatting sqref="Q39">
    <cfRule type="expression" dxfId="122" priority="61">
      <formula>COUNTIF($AU$8:$AV$20,$Q39)=1</formula>
    </cfRule>
  </conditionalFormatting>
  <conditionalFormatting sqref="Q42">
    <cfRule type="expression" dxfId="121" priority="56">
      <formula>$AT42="zondag"</formula>
    </cfRule>
    <cfRule type="expression" dxfId="120" priority="57">
      <formula>$AT42="zaterdag"</formula>
    </cfRule>
  </conditionalFormatting>
  <conditionalFormatting sqref="R41">
    <cfRule type="expression" dxfId="119" priority="53">
      <formula>$AT41="zondag"</formula>
    </cfRule>
    <cfRule type="expression" dxfId="118" priority="54">
      <formula>$AT41="zaterdag"</formula>
    </cfRule>
  </conditionalFormatting>
  <conditionalFormatting sqref="R41">
    <cfRule type="expression" dxfId="117" priority="55">
      <formula>COUNTIF($AU$8:$AV$20,#REF!)=1</formula>
    </cfRule>
  </conditionalFormatting>
  <conditionalFormatting sqref="G51:M56 G60:M65 P51:W56 P60:W65 Z51:AF56 Z60:AF65 AI51:AO56 AI60:AO65">
    <cfRule type="cellIs" dxfId="116" priority="167" operator="equal">
      <formula>$AU$20</formula>
    </cfRule>
  </conditionalFormatting>
  <conditionalFormatting sqref="G51:M56 G60:M65 P51:W56 P60:W65 Z51:AF56 Z60:AF65 AI60:AO65 AI51:AO56">
    <cfRule type="cellIs" dxfId="115" priority="168" operator="equal">
      <formula>$AU$19</formula>
    </cfRule>
    <cfRule type="cellIs" dxfId="114" priority="169" operator="equal">
      <formula>$AU$18</formula>
    </cfRule>
    <cfRule type="cellIs" dxfId="113" priority="1768" operator="equal">
      <formula>$AV$12</formula>
    </cfRule>
    <cfRule type="cellIs" dxfId="112" priority="1772" operator="between">
      <formula>$Q$39</formula>
      <formula>$AX$42+1</formula>
    </cfRule>
  </conditionalFormatting>
  <conditionalFormatting sqref="G51:M56 G60:M65 P51:W56 P60:W65 Z51:AF56 AI51:AO56 Z60:AF65 AI60:AO65">
    <cfRule type="cellIs" dxfId="111" priority="170" operator="equal">
      <formula>$AU$17</formula>
    </cfRule>
  </conditionalFormatting>
  <conditionalFormatting sqref="G51:M56 G60:M65 P51:W56 P60:W65 Z51:AF56 Z60:AF65 AI60:AO65 AI51:AO56">
    <cfRule type="cellIs" dxfId="110" priority="171" operator="equal">
      <formula>$AU$16</formula>
    </cfRule>
  </conditionalFormatting>
  <conditionalFormatting sqref="G51:M56 G60:M65 P51:W56 P60:W65 Z51:AF56 Z60:AF65 AI60:AO65 AI51:AO56">
    <cfRule type="cellIs" dxfId="109" priority="172" operator="equal">
      <formula>$AU$15</formula>
    </cfRule>
  </conditionalFormatting>
  <conditionalFormatting sqref="G51:M56 G60:M65 P51:W56 P60:W65 Z51:AF56 AI51:AO56 Z60:AF65 AI60:AO65">
    <cfRule type="cellIs" dxfId="108" priority="173" operator="equal">
      <formula>$AU$14</formula>
    </cfRule>
  </conditionalFormatting>
  <conditionalFormatting sqref="G51:M56 G60:M65 P51:W56 P60:W65 Z51:AF56 Z60:AF65 AI60:AO65 AI51:AO56">
    <cfRule type="cellIs" dxfId="107" priority="174" operator="equal">
      <formula>$AU$13</formula>
    </cfRule>
  </conditionalFormatting>
  <conditionalFormatting sqref="G51:M56 G60:M65 P51:W56 P60:W65 Z51:AF56 Z60:AF65 AI60:AO65 AI51:AO56">
    <cfRule type="cellIs" dxfId="106" priority="175" operator="equal">
      <formula>$AU$12</formula>
    </cfRule>
  </conditionalFormatting>
  <conditionalFormatting sqref="G51:M56 G60:M65 P51:W56 P60:W65 Z51:AF56 Z60:AF65 AI60:AO65 AI51:AO56">
    <cfRule type="cellIs" dxfId="105" priority="201" operator="equal">
      <formula>$AU$11</formula>
    </cfRule>
  </conditionalFormatting>
  <conditionalFormatting sqref="G51:M56 G60:M65 P51:W56 P60:W65 Z51:AF56 Z60:AF65 AI60:AO65 AI51:AO56">
    <cfRule type="cellIs" dxfId="104" priority="1256" operator="equal">
      <formula>$AU$8</formula>
    </cfRule>
  </conditionalFormatting>
  <conditionalFormatting sqref="G51:M56 G60:M65 P51:W56 P60:W65 Z51:AF56 Z60:AF65 AI60:AO65 AI51:AO56">
    <cfRule type="cellIs" dxfId="103" priority="1257" operator="equal">
      <formula>$AV$20</formula>
    </cfRule>
  </conditionalFormatting>
  <conditionalFormatting sqref="G51:M56 G60:M65 P51:W56 P60:W65 Z51:AF56 AI51:AO56 Z60:AF65 AI60:AO65">
    <cfRule type="cellIs" dxfId="102" priority="1258" operator="equal">
      <formula>$AV$19</formula>
    </cfRule>
  </conditionalFormatting>
  <conditionalFormatting sqref="G51:M56 G60:M65 P51:W56 P60:W65 Z51:AF56 Z60:AF65 AI60:AO65 AI51:AO56">
    <cfRule type="cellIs" dxfId="101" priority="1259" operator="equal">
      <formula>$AV$18</formula>
    </cfRule>
  </conditionalFormatting>
  <conditionalFormatting sqref="G51:M56 G60:M65 P51:W56 P60:W65 Z51:AF56 AI51:AO56 Z60:AF65 AI60:AO65">
    <cfRule type="cellIs" dxfId="100" priority="1742" operator="equal">
      <formula>$AV$17</formula>
    </cfRule>
  </conditionalFormatting>
  <conditionalFormatting sqref="G51:M56 G60:M65 P51:W56 P60:W65 Z51:AF56 AI51:AO56 Z60:AF65 AI60:AO65">
    <cfRule type="cellIs" dxfId="99" priority="1743" operator="equal">
      <formula>$AV$16</formula>
    </cfRule>
  </conditionalFormatting>
  <conditionalFormatting sqref="G51:M56 G60:M65 P51:W56 P60:W65 Z51:AF56 AI51:AO56 Z60:AF65 AI60:AO65">
    <cfRule type="cellIs" dxfId="98" priority="1744" operator="equal">
      <formula>$AV$15</formula>
    </cfRule>
  </conditionalFormatting>
  <conditionalFormatting sqref="G51:M56 G60:M65 P51:W56 P60:W65 Z51:AF56 AI51:AO56 Z60:AF65 AI60:AO65">
    <cfRule type="cellIs" dxfId="97" priority="1766" operator="equal">
      <formula>$AV$14</formula>
    </cfRule>
  </conditionalFormatting>
  <conditionalFormatting sqref="G51:M56 G60:M65 P51:W56 P60:W65 Z51:AF56 Z60:AF65 AI60:AO65 AI51:AO56">
    <cfRule type="cellIs" dxfId="96" priority="1767" operator="equal">
      <formula>$AV$13</formula>
    </cfRule>
  </conditionalFormatting>
  <conditionalFormatting sqref="G51:M56 G60:M65 P51:W56 P60:W65 Z51:AF56 Z60:AF65 AI51:AO56 AI60:AO65">
    <cfRule type="cellIs" dxfId="95" priority="1769" operator="equal">
      <formula>$AV$11</formula>
    </cfRule>
  </conditionalFormatting>
  <conditionalFormatting sqref="G51:M56 G60:M65 P51:W56 P60:W65 Z51:AF56 Z60:AF65 AI51:AO56 AI60:AO65">
    <cfRule type="cellIs" dxfId="94" priority="1770" operator="equal">
      <formula>$AV$8</formula>
    </cfRule>
  </conditionalFormatting>
  <conditionalFormatting sqref="G51:K56 P51:T56 Z51:AD56 AI51:AM56 G60:K65 P60:T65 Z60:AD65 AI60:AM65">
    <cfRule type="cellIs" dxfId="93" priority="1" operator="equal">
      <formula>$AX$26-1</formula>
    </cfRule>
    <cfRule type="cellIs" dxfId="92" priority="155" operator="equal">
      <formula>$R$27</formula>
    </cfRule>
    <cfRule type="cellIs" dxfId="91" priority="157" operator="equal">
      <formula>$R$28</formula>
    </cfRule>
    <cfRule type="cellIs" dxfId="90" priority="159" operator="equal">
      <formula>$R$29</formula>
    </cfRule>
    <cfRule type="cellIs" dxfId="89" priority="161" operator="equal">
      <formula>$Q$30</formula>
    </cfRule>
    <cfRule type="cellIs" dxfId="88" priority="163" operator="equal">
      <formula>$Q$39</formula>
    </cfRule>
    <cfRule type="cellIs" dxfId="87" priority="165" operator="equal">
      <formula>$AX$42+1</formula>
    </cfRule>
  </conditionalFormatting>
  <conditionalFormatting sqref="L51:M56 L60:M65 U51:W56 U60:W65 AE51:AF56 AN51:AO56 AE60:AF65 AN60:AO65">
    <cfRule type="cellIs" dxfId="86" priority="156" operator="equal">
      <formula>$R$27</formula>
    </cfRule>
    <cfRule type="cellIs" dxfId="85" priority="158" operator="equal">
      <formula>$R$28</formula>
    </cfRule>
    <cfRule type="cellIs" dxfId="84" priority="162" operator="equal">
      <formula>$Q$30</formula>
    </cfRule>
  </conditionalFormatting>
  <conditionalFormatting sqref="L51:M56 L60:M65 U51:W56 U60:W65 AE51:AF56 AE60:AF65 AN51:AO56 AN60:AO65">
    <cfRule type="cellIs" dxfId="83" priority="164" operator="equal">
      <formula>$Q$39</formula>
    </cfRule>
    <cfRule type="cellIs" dxfId="82" priority="166" operator="equal">
      <formula>$AX$42+1</formula>
    </cfRule>
  </conditionalFormatting>
  <conditionalFormatting sqref="L51:M56 L60:M65 U51:W56 U60:W65 AE51:AF56 AE60:AF65 AN51:AO56 AN60:AO65">
    <cfRule type="cellIs" dxfId="81" priority="154" operator="equal">
      <formula>$AX$26-1</formula>
    </cfRule>
  </conditionalFormatting>
  <conditionalFormatting sqref="L51:M56 L60:M65 U51:W56 U60:W65 AE51:AF56 AN51:AO56 AE60:AF65 AN60:AO65">
    <cfRule type="cellIs" dxfId="80" priority="160" operator="equal">
      <formula>$R$29</formula>
    </cfRule>
  </conditionalFormatting>
  <conditionalFormatting sqref="G51:M56 G60:M65 P51:W56 P60:W65 Z51:AF56 AI51:AO56 AI60:AO65 Z60:AF65">
    <cfRule type="cellIs" dxfId="79" priority="1771" operator="between">
      <formula>$AX$26</formula>
      <formula>$Q$30</formula>
    </cfRule>
  </conditionalFormatting>
  <conditionalFormatting sqref="F51:F56 O51:O56 Y51:Y56 AH51:AH56 F60:F65 O60:O65 Y60:Y65 AH60:AH65">
    <cfRule type="cellIs" dxfId="78" priority="44" operator="equal">
      <formula>$AX$20</formula>
    </cfRule>
    <cfRule type="cellIs" dxfId="77" priority="45" operator="equal">
      <formula>$AX$19</formula>
    </cfRule>
    <cfRule type="cellIs" dxfId="76" priority="46" operator="between">
      <formula>$AX$11</formula>
      <formula>$AX$18</formula>
    </cfRule>
    <cfRule type="cellIs" dxfId="75" priority="47" operator="equal">
      <formula>$AX$10</formula>
    </cfRule>
    <cfRule type="cellIs" dxfId="74" priority="48" operator="equal">
      <formula>$AX$9</formula>
    </cfRule>
    <cfRule type="cellIs" dxfId="73" priority="49" operator="equal">
      <formula>$AX$8</formula>
    </cfRule>
  </conditionalFormatting>
  <pageMargins left="0.70866141732283472" right="0.70866141732283472" top="0.74803149606299213" bottom="0.74803149606299213" header="0.31496062992125984" footer="0.31496062992125984"/>
  <pageSetup paperSize="9" scale="74" orientation="landscape" r:id="rId1"/>
  <headerFooter scaleWithDoc="0">
    <oddFooter>&amp;R&amp;10blad &amp;P/&amp;N</oddFooter>
  </headerFooter>
  <colBreaks count="1" manualBreakCount="1">
    <brk id="44" max="1048575" man="1"/>
  </colBreaks>
  <drawing r:id="rId2"/>
  <legacyDrawing r:id="rId3"/>
  <controls>
    <mc:AlternateContent xmlns:mc="http://schemas.openxmlformats.org/markup-compatibility/2006">
      <mc:Choice Requires="x14">
        <control shapeId="5149" r:id="rId4" name="DTPicker1">
          <controlPr locked="0" defaultSize="0" print="0" autoLine="0" autoPict="0" altText="kalenderinvoer" linkedCell="L12" r:id="rId5">
            <anchor moveWithCells="1">
              <from>
                <xdr:col>11</xdr:col>
                <xdr:colOff>9525</xdr:colOff>
                <xdr:row>9</xdr:row>
                <xdr:rowOff>161925</xdr:rowOff>
              </from>
              <to>
                <xdr:col>18</xdr:col>
                <xdr:colOff>133350</xdr:colOff>
                <xdr:row>10</xdr:row>
                <xdr:rowOff>161925</xdr:rowOff>
              </to>
            </anchor>
          </controlPr>
        </control>
      </mc:Choice>
      <mc:Fallback>
        <control shapeId="5149" r:id="rId4" name="DTPicker1"/>
      </mc:Fallback>
    </mc:AlternateContent>
    <mc:AlternateContent xmlns:mc="http://schemas.openxmlformats.org/markup-compatibility/2006">
      <mc:Choice Requires="x14">
        <control shapeId="5121" r:id="rId6" name="Drop Down 1">
          <controlPr defaultSize="0" autoLine="0" autoPict="0">
            <anchor moveWithCells="1">
              <from>
                <xdr:col>11</xdr:col>
                <xdr:colOff>19050</xdr:colOff>
                <xdr:row>8</xdr:row>
                <xdr:rowOff>38100</xdr:rowOff>
              </from>
              <to>
                <xdr:col>18</xdr:col>
                <xdr:colOff>142875</xdr:colOff>
                <xdr:row>9</xdr:row>
                <xdr:rowOff>47625</xdr:rowOff>
              </to>
            </anchor>
          </controlPr>
        </control>
      </mc:Choice>
    </mc:AlternateContent>
    <mc:AlternateContent xmlns:mc="http://schemas.openxmlformats.org/markup-compatibility/2006">
      <mc:Choice Requires="x14">
        <control shapeId="5122" r:id="rId7" name="Check Box 2">
          <controlPr locked="0" defaultSize="0" autoFill="0" autoLine="0" autoPict="0">
            <anchor moveWithCells="1">
              <from>
                <xdr:col>10</xdr:col>
                <xdr:colOff>238125</xdr:colOff>
                <xdr:row>15</xdr:row>
                <xdr:rowOff>0</xdr:rowOff>
              </from>
              <to>
                <xdr:col>17</xdr:col>
                <xdr:colOff>209550</xdr:colOff>
                <xdr:row>15</xdr:row>
                <xdr:rowOff>180975</xdr:rowOff>
              </to>
            </anchor>
          </controlPr>
        </control>
      </mc:Choice>
    </mc:AlternateContent>
    <mc:AlternateContent xmlns:mc="http://schemas.openxmlformats.org/markup-compatibility/2006">
      <mc:Choice Requires="x14">
        <control shapeId="5123" r:id="rId8" name="Check Box 3">
          <controlPr locked="0" defaultSize="0" autoFill="0" autoLine="0" autoPict="0">
            <anchor moveWithCells="1">
              <from>
                <xdr:col>10</xdr:col>
                <xdr:colOff>238125</xdr:colOff>
                <xdr:row>17</xdr:row>
                <xdr:rowOff>0</xdr:rowOff>
              </from>
              <to>
                <xdr:col>17</xdr:col>
                <xdr:colOff>209550</xdr:colOff>
                <xdr:row>17</xdr:row>
                <xdr:rowOff>180975</xdr:rowOff>
              </to>
            </anchor>
          </controlPr>
        </control>
      </mc:Choice>
    </mc:AlternateContent>
    <mc:AlternateContent xmlns:mc="http://schemas.openxmlformats.org/markup-compatibility/2006">
      <mc:Choice Requires="x14">
        <control shapeId="5124" r:id="rId9" name="Check Box 4">
          <controlPr locked="0" defaultSize="0" autoFill="0" autoLine="0" autoPict="0">
            <anchor moveWithCells="1">
              <from>
                <xdr:col>10</xdr:col>
                <xdr:colOff>238125</xdr:colOff>
                <xdr:row>18</xdr:row>
                <xdr:rowOff>0</xdr:rowOff>
              </from>
              <to>
                <xdr:col>17</xdr:col>
                <xdr:colOff>209550</xdr:colOff>
                <xdr:row>19</xdr:row>
                <xdr:rowOff>0</xdr:rowOff>
              </to>
            </anchor>
          </controlPr>
        </control>
      </mc:Choice>
    </mc:AlternateContent>
    <mc:AlternateContent xmlns:mc="http://schemas.openxmlformats.org/markup-compatibility/2006">
      <mc:Choice Requires="x14">
        <control shapeId="5125" r:id="rId10" name="Drop Down 5">
          <controlPr defaultSize="0" autoLine="0" autoPict="0">
            <anchor moveWithCells="1">
              <from>
                <xdr:col>11</xdr:col>
                <xdr:colOff>19050</xdr:colOff>
                <xdr:row>6</xdr:row>
                <xdr:rowOff>19050</xdr:rowOff>
              </from>
              <to>
                <xdr:col>18</xdr:col>
                <xdr:colOff>142875</xdr:colOff>
                <xdr:row>7</xdr:row>
                <xdr:rowOff>28575</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10</xdr:col>
                <xdr:colOff>238125</xdr:colOff>
                <xdr:row>16</xdr:row>
                <xdr:rowOff>0</xdr:rowOff>
              </from>
              <to>
                <xdr:col>22</xdr:col>
                <xdr:colOff>85725</xdr:colOff>
                <xdr:row>17</xdr:row>
                <xdr:rowOff>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23</xdr:col>
                <xdr:colOff>9525</xdr:colOff>
                <xdr:row>32</xdr:row>
                <xdr:rowOff>0</xdr:rowOff>
              </from>
              <to>
                <xdr:col>23</xdr:col>
                <xdr:colOff>114300</xdr:colOff>
                <xdr:row>32</xdr:row>
                <xdr:rowOff>171450</xdr:rowOff>
              </to>
            </anchor>
          </controlPr>
        </control>
      </mc:Choice>
    </mc:AlternateContent>
    <mc:AlternateContent xmlns:mc="http://schemas.openxmlformats.org/markup-compatibility/2006">
      <mc:Choice Requires="x14">
        <control shapeId="5131" r:id="rId13" name="Spinner 11">
          <controlPr defaultSize="0" print="0" autoPict="0">
            <anchor moveWithCells="1" sizeWithCells="1">
              <from>
                <xdr:col>23</xdr:col>
                <xdr:colOff>9525</xdr:colOff>
                <xdr:row>33</xdr:row>
                <xdr:rowOff>0</xdr:rowOff>
              </from>
              <to>
                <xdr:col>23</xdr:col>
                <xdr:colOff>114300</xdr:colOff>
                <xdr:row>33</xdr:row>
                <xdr:rowOff>171450</xdr:rowOff>
              </to>
            </anchor>
          </controlPr>
        </control>
      </mc:Choice>
    </mc:AlternateContent>
    <mc:AlternateContent xmlns:mc="http://schemas.openxmlformats.org/markup-compatibility/2006">
      <mc:Choice Requires="x14">
        <control shapeId="5135" r:id="rId14" name="Spinner 15">
          <controlPr defaultSize="0" print="0" autoPict="0">
            <anchor moveWithCells="1" sizeWithCells="1">
              <from>
                <xdr:col>23</xdr:col>
                <xdr:colOff>9525</xdr:colOff>
                <xdr:row>28</xdr:row>
                <xdr:rowOff>9525</xdr:rowOff>
              </from>
              <to>
                <xdr:col>23</xdr:col>
                <xdr:colOff>114300</xdr:colOff>
                <xdr:row>28</xdr:row>
                <xdr:rowOff>180975</xdr:rowOff>
              </to>
            </anchor>
          </controlPr>
        </control>
      </mc:Choice>
    </mc:AlternateContent>
    <mc:AlternateContent xmlns:mc="http://schemas.openxmlformats.org/markup-compatibility/2006">
      <mc:Choice Requires="x14">
        <control shapeId="5136" r:id="rId15" name="Spinner 16">
          <controlPr defaultSize="0" print="0" autoPict="0">
            <anchor moveWithCells="1" sizeWithCells="1">
              <from>
                <xdr:col>23</xdr:col>
                <xdr:colOff>9525</xdr:colOff>
                <xdr:row>27</xdr:row>
                <xdr:rowOff>9525</xdr:rowOff>
              </from>
              <to>
                <xdr:col>23</xdr:col>
                <xdr:colOff>114300</xdr:colOff>
                <xdr:row>27</xdr:row>
                <xdr:rowOff>180975</xdr:rowOff>
              </to>
            </anchor>
          </controlPr>
        </control>
      </mc:Choice>
    </mc:AlternateContent>
    <mc:AlternateContent xmlns:mc="http://schemas.openxmlformats.org/markup-compatibility/2006">
      <mc:Choice Requires="x14">
        <control shapeId="5137" r:id="rId16" name="Spinner 17">
          <controlPr defaultSize="0" print="0" autoPict="0">
            <anchor moveWithCells="1" sizeWithCells="1">
              <from>
                <xdr:col>23</xdr:col>
                <xdr:colOff>9525</xdr:colOff>
                <xdr:row>29</xdr:row>
                <xdr:rowOff>9525</xdr:rowOff>
              </from>
              <to>
                <xdr:col>23</xdr:col>
                <xdr:colOff>114300</xdr:colOff>
                <xdr:row>29</xdr:row>
                <xdr:rowOff>180975</xdr:rowOff>
              </to>
            </anchor>
          </controlPr>
        </control>
      </mc:Choice>
    </mc:AlternateContent>
    <mc:AlternateContent xmlns:mc="http://schemas.openxmlformats.org/markup-compatibility/2006">
      <mc:Choice Requires="x14">
        <control shapeId="5138" r:id="rId17" name="Spinner 18">
          <controlPr defaultSize="0" print="0" autoPict="0">
            <anchor moveWithCells="1" sizeWithCells="1">
              <from>
                <xdr:col>23</xdr:col>
                <xdr:colOff>9525</xdr:colOff>
                <xdr:row>34</xdr:row>
                <xdr:rowOff>0</xdr:rowOff>
              </from>
              <to>
                <xdr:col>23</xdr:col>
                <xdr:colOff>114300</xdr:colOff>
                <xdr:row>34</xdr:row>
                <xdr:rowOff>171450</xdr:rowOff>
              </to>
            </anchor>
          </controlPr>
        </control>
      </mc:Choice>
    </mc:AlternateContent>
    <mc:AlternateContent xmlns:mc="http://schemas.openxmlformats.org/markup-compatibility/2006">
      <mc:Choice Requires="x14">
        <control shapeId="5139" r:id="rId18" name="Spinner 19">
          <controlPr defaultSize="0" print="0" autoPict="0">
            <anchor moveWithCells="1" sizeWithCells="1">
              <from>
                <xdr:col>23</xdr:col>
                <xdr:colOff>9525</xdr:colOff>
                <xdr:row>35</xdr:row>
                <xdr:rowOff>0</xdr:rowOff>
              </from>
              <to>
                <xdr:col>23</xdr:col>
                <xdr:colOff>114300</xdr:colOff>
                <xdr:row>35</xdr:row>
                <xdr:rowOff>171450</xdr:rowOff>
              </to>
            </anchor>
          </controlPr>
        </control>
      </mc:Choice>
    </mc:AlternateContent>
    <mc:AlternateContent xmlns:mc="http://schemas.openxmlformats.org/markup-compatibility/2006">
      <mc:Choice Requires="x14">
        <control shapeId="5140" r:id="rId19" name="Spinner 20">
          <controlPr defaultSize="0" print="0" autoPict="0">
            <anchor moveWithCells="1" sizeWithCells="1">
              <from>
                <xdr:col>23</xdr:col>
                <xdr:colOff>9525</xdr:colOff>
                <xdr:row>36</xdr:row>
                <xdr:rowOff>0</xdr:rowOff>
              </from>
              <to>
                <xdr:col>23</xdr:col>
                <xdr:colOff>114300</xdr:colOff>
                <xdr:row>36</xdr:row>
                <xdr:rowOff>171450</xdr:rowOff>
              </to>
            </anchor>
          </controlPr>
        </control>
      </mc:Choice>
    </mc:AlternateContent>
    <mc:AlternateContent xmlns:mc="http://schemas.openxmlformats.org/markup-compatibility/2006">
      <mc:Choice Requires="x14">
        <control shapeId="5141" r:id="rId20" name="Spinner 21">
          <controlPr defaultSize="0" print="0" autoPict="0">
            <anchor moveWithCells="1" sizeWithCells="1">
              <from>
                <xdr:col>23</xdr:col>
                <xdr:colOff>9525</xdr:colOff>
                <xdr:row>37</xdr:row>
                <xdr:rowOff>0</xdr:rowOff>
              </from>
              <to>
                <xdr:col>23</xdr:col>
                <xdr:colOff>114300</xdr:colOff>
                <xdr:row>37</xdr:row>
                <xdr:rowOff>171450</xdr:rowOff>
              </to>
            </anchor>
          </controlPr>
        </control>
      </mc:Choice>
    </mc:AlternateContent>
    <mc:AlternateContent xmlns:mc="http://schemas.openxmlformats.org/markup-compatibility/2006">
      <mc:Choice Requires="x14">
        <control shapeId="5142" r:id="rId21" name="Spinner 22">
          <controlPr defaultSize="0" print="0" autoPict="0">
            <anchor moveWithCells="1" sizeWithCells="1">
              <from>
                <xdr:col>23</xdr:col>
                <xdr:colOff>9525</xdr:colOff>
                <xdr:row>38</xdr:row>
                <xdr:rowOff>0</xdr:rowOff>
              </from>
              <to>
                <xdr:col>23</xdr:col>
                <xdr:colOff>114300</xdr:colOff>
                <xdr:row>38</xdr:row>
                <xdr:rowOff>171450</xdr:rowOff>
              </to>
            </anchor>
          </controlPr>
        </control>
      </mc:Choice>
    </mc:AlternateContent>
    <mc:AlternateContent xmlns:mc="http://schemas.openxmlformats.org/markup-compatibility/2006">
      <mc:Choice Requires="x14">
        <control shapeId="5143" r:id="rId22" name="Check Box 23">
          <controlPr locked="0" defaultSize="0" autoFill="0" autoLine="0" autoPict="0">
            <anchor moveWithCells="1">
              <from>
                <xdr:col>10</xdr:col>
                <xdr:colOff>238125</xdr:colOff>
                <xdr:row>19</xdr:row>
                <xdr:rowOff>0</xdr:rowOff>
              </from>
              <to>
                <xdr:col>22</xdr:col>
                <xdr:colOff>47625</xdr:colOff>
                <xdr:row>19</xdr:row>
                <xdr:rowOff>190500</xdr:rowOff>
              </to>
            </anchor>
          </controlPr>
        </control>
      </mc:Choice>
    </mc:AlternateContent>
    <mc:AlternateContent xmlns:mc="http://schemas.openxmlformats.org/markup-compatibility/2006">
      <mc:Choice Requires="x14">
        <control shapeId="5144" r:id="rId23" name="Spinner 24">
          <controlPr defaultSize="0" print="0" autoPict="0">
            <anchor moveWithCells="1" sizeWithCells="1">
              <from>
                <xdr:col>23</xdr:col>
                <xdr:colOff>9525</xdr:colOff>
                <xdr:row>40</xdr:row>
                <xdr:rowOff>0</xdr:rowOff>
              </from>
              <to>
                <xdr:col>23</xdr:col>
                <xdr:colOff>114300</xdr:colOff>
                <xdr:row>40</xdr:row>
                <xdr:rowOff>171450</xdr:rowOff>
              </to>
            </anchor>
          </controlPr>
        </control>
      </mc:Choice>
    </mc:AlternateContent>
    <mc:AlternateContent xmlns:mc="http://schemas.openxmlformats.org/markup-compatibility/2006">
      <mc:Choice Requires="x14">
        <control shapeId="5145" r:id="rId24" name="Spinner 25">
          <controlPr defaultSize="0" print="0" autoPict="0">
            <anchor moveWithCells="1" sizeWithCells="1">
              <from>
                <xdr:col>23</xdr:col>
                <xdr:colOff>9525</xdr:colOff>
                <xdr:row>41</xdr:row>
                <xdr:rowOff>0</xdr:rowOff>
              </from>
              <to>
                <xdr:col>23</xdr:col>
                <xdr:colOff>114300</xdr:colOff>
                <xdr:row>41</xdr:row>
                <xdr:rowOff>171450</xdr:rowOff>
              </to>
            </anchor>
          </controlPr>
        </control>
      </mc:Choice>
    </mc:AlternateContent>
    <mc:AlternateContent xmlns:mc="http://schemas.openxmlformats.org/markup-compatibility/2006">
      <mc:Choice Requires="x14">
        <control shapeId="5146" r:id="rId25" name="Spinner 26">
          <controlPr defaultSize="0" print="0" autoPict="0">
            <anchor moveWithCells="1" sizeWithCells="1">
              <from>
                <xdr:col>23</xdr:col>
                <xdr:colOff>9525</xdr:colOff>
                <xdr:row>44</xdr:row>
                <xdr:rowOff>0</xdr:rowOff>
              </from>
              <to>
                <xdr:col>23</xdr:col>
                <xdr:colOff>114300</xdr:colOff>
                <xdr:row>44</xdr:row>
                <xdr:rowOff>171450</xdr:rowOff>
              </to>
            </anchor>
          </controlPr>
        </control>
      </mc:Choice>
    </mc:AlternateContent>
    <mc:AlternateContent xmlns:mc="http://schemas.openxmlformats.org/markup-compatibility/2006">
      <mc:Choice Requires="x14">
        <control shapeId="5147" r:id="rId26" name="Spinner 27">
          <controlPr defaultSize="0" print="0" autoPict="0">
            <anchor moveWithCells="1" sizeWithCells="1">
              <from>
                <xdr:col>23</xdr:col>
                <xdr:colOff>9525</xdr:colOff>
                <xdr:row>26</xdr:row>
                <xdr:rowOff>0</xdr:rowOff>
              </from>
              <to>
                <xdr:col>23</xdr:col>
                <xdr:colOff>114300</xdr:colOff>
                <xdr:row>26</xdr:row>
                <xdr:rowOff>171450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10</xdr:col>
                <xdr:colOff>238125</xdr:colOff>
                <xdr:row>14</xdr:row>
                <xdr:rowOff>0</xdr:rowOff>
              </from>
              <to>
                <xdr:col>22</xdr:col>
                <xdr:colOff>85725</xdr:colOff>
                <xdr:row>15</xdr:row>
                <xdr:rowOff>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pageSetUpPr fitToPage="1"/>
  </sheetPr>
  <dimension ref="A1:AX63"/>
  <sheetViews>
    <sheetView showGridLines="0" showRowColHeaders="0" topLeftCell="E1" zoomScaleNormal="100" zoomScaleSheetLayoutView="85" workbookViewId="0">
      <selection activeCell="M2" sqref="M2:AP2"/>
    </sheetView>
  </sheetViews>
  <sheetFormatPr defaultRowHeight="15" x14ac:dyDescent="0.25"/>
  <cols>
    <col min="1" max="4" width="9.7109375" hidden="1" customWidth="1"/>
    <col min="5" max="5" width="1.42578125" customWidth="1"/>
    <col min="6" max="13" width="4.28515625" customWidth="1"/>
    <col min="14" max="14" width="2.140625" customWidth="1"/>
    <col min="15" max="20" width="4.28515625" customWidth="1"/>
    <col min="21" max="21" width="1.42578125" customWidth="1"/>
    <col min="22" max="22" width="2.85546875" customWidth="1"/>
    <col min="23" max="23" width="4.28515625" customWidth="1"/>
    <col min="24" max="24" width="2.140625" customWidth="1"/>
    <col min="25" max="32" width="4.28515625" customWidth="1"/>
    <col min="33" max="33" width="2.140625" customWidth="1"/>
    <col min="34" max="41" width="4.28515625" customWidth="1"/>
    <col min="42" max="42" width="2.140625" customWidth="1"/>
    <col min="43" max="43" width="28.28515625" customWidth="1"/>
    <col min="44" max="44" width="4.28515625" customWidth="1"/>
    <col min="45" max="45" width="1.42578125" customWidth="1"/>
    <col min="46" max="49" width="9.140625" hidden="1" customWidth="1"/>
    <col min="50" max="50" width="13.42578125" hidden="1" customWidth="1"/>
  </cols>
  <sheetData>
    <row r="1" spans="1:50" ht="7.5" customHeight="1" thickBot="1" x14ac:dyDescent="0.3"/>
    <row r="2" spans="1:50" x14ac:dyDescent="0.25">
      <c r="F2" s="239" t="s">
        <v>96</v>
      </c>
      <c r="G2" s="249"/>
      <c r="H2" s="249"/>
      <c r="I2" s="249"/>
      <c r="J2" s="249"/>
      <c r="K2" s="249"/>
      <c r="L2" s="249"/>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146"/>
      <c r="AR2" s="118"/>
    </row>
    <row r="3" spans="1:50" x14ac:dyDescent="0.25">
      <c r="F3" s="242" t="s">
        <v>94</v>
      </c>
      <c r="G3" s="244"/>
      <c r="H3" s="244"/>
      <c r="I3" s="250"/>
      <c r="J3" s="244"/>
      <c r="K3" s="244"/>
      <c r="L3" s="244"/>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147"/>
      <c r="AR3" s="119"/>
    </row>
    <row r="4" spans="1:50" ht="15.75" thickBot="1" x14ac:dyDescent="0.3">
      <c r="F4" s="246" t="s">
        <v>95</v>
      </c>
      <c r="G4" s="247"/>
      <c r="H4" s="247"/>
      <c r="I4" s="251"/>
      <c r="J4" s="247"/>
      <c r="K4" s="247"/>
      <c r="L4" s="24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148"/>
      <c r="AR4" s="121"/>
    </row>
    <row r="5" spans="1:50" ht="9" customHeight="1" x14ac:dyDescent="0.25"/>
    <row r="6" spans="1:50" x14ac:dyDescent="0.25">
      <c r="A6" s="54" t="s">
        <v>1</v>
      </c>
      <c r="B6" s="55"/>
      <c r="C6" s="55"/>
      <c r="D6" s="56"/>
      <c r="E6" s="84"/>
      <c r="F6" s="16" t="s">
        <v>29</v>
      </c>
      <c r="G6" s="184"/>
      <c r="H6" s="184"/>
      <c r="I6" s="184"/>
      <c r="J6" s="184"/>
      <c r="K6" s="184"/>
      <c r="L6" s="184"/>
      <c r="M6" s="184"/>
      <c r="N6" s="4"/>
      <c r="O6" s="4"/>
      <c r="P6" s="4"/>
      <c r="Q6" s="4"/>
      <c r="R6" s="4"/>
      <c r="S6" s="4"/>
      <c r="T6" s="4"/>
      <c r="U6" s="4"/>
      <c r="V6" s="4"/>
      <c r="W6" s="37"/>
      <c r="X6" s="84"/>
      <c r="Y6" s="38" t="s">
        <v>15</v>
      </c>
      <c r="Z6" s="39"/>
      <c r="AA6" s="39"/>
      <c r="AB6" s="39"/>
      <c r="AC6" s="39"/>
      <c r="AD6" s="39"/>
      <c r="AE6" s="39"/>
      <c r="AF6" s="39"/>
      <c r="AG6" s="39"/>
      <c r="AH6" s="39"/>
      <c r="AI6" s="39"/>
      <c r="AJ6" s="39"/>
      <c r="AK6" s="39"/>
      <c r="AL6" s="39"/>
      <c r="AM6" s="39"/>
      <c r="AN6" s="39"/>
      <c r="AO6" s="39"/>
      <c r="AP6" s="39"/>
      <c r="AQ6" s="39"/>
      <c r="AR6" s="40"/>
      <c r="AT6" s="54" t="s">
        <v>119</v>
      </c>
      <c r="AU6" s="54"/>
      <c r="AV6" s="54"/>
      <c r="AW6" s="54"/>
      <c r="AX6" s="54"/>
    </row>
    <row r="7" spans="1:50" x14ac:dyDescent="0.25">
      <c r="A7" s="57" t="s">
        <v>10</v>
      </c>
      <c r="B7" s="58"/>
      <c r="C7" s="58"/>
      <c r="D7" s="59"/>
      <c r="E7" s="84"/>
      <c r="F7" s="14" t="s">
        <v>9</v>
      </c>
      <c r="G7" s="26"/>
      <c r="H7" s="26"/>
      <c r="I7" s="26"/>
      <c r="J7" s="26"/>
      <c r="K7" s="26"/>
      <c r="L7" s="22" t="str">
        <f>A8</f>
        <v>ARW 2016 (hoofdstuk 7, nationaal)</v>
      </c>
      <c r="M7" s="19"/>
      <c r="N7" s="19"/>
      <c r="O7" s="19"/>
      <c r="P7" s="19"/>
      <c r="Q7" s="19"/>
      <c r="R7" s="19"/>
      <c r="S7" s="19"/>
      <c r="T7" s="19"/>
      <c r="U7" s="19"/>
      <c r="V7" s="19"/>
      <c r="W7" s="20"/>
      <c r="X7" s="84"/>
      <c r="Y7" s="30" t="s">
        <v>47</v>
      </c>
      <c r="Z7" s="31"/>
      <c r="AA7" s="31"/>
      <c r="AB7" s="31"/>
      <c r="AC7" s="31"/>
      <c r="AD7" s="31"/>
      <c r="AE7" s="31"/>
      <c r="AF7" s="31"/>
      <c r="AG7" s="31"/>
      <c r="AH7" s="31"/>
      <c r="AI7" s="31"/>
      <c r="AJ7" s="31"/>
      <c r="AK7" s="31"/>
      <c r="AL7" s="31"/>
      <c r="AM7" s="31"/>
      <c r="AN7" s="31"/>
      <c r="AO7" s="31"/>
      <c r="AP7" s="31"/>
      <c r="AQ7" s="31"/>
      <c r="AR7" s="32"/>
      <c r="AT7" s="124" t="s">
        <v>122</v>
      </c>
      <c r="AU7" s="125">
        <f>YEAR(L12)</f>
        <v>2017</v>
      </c>
      <c r="AV7" s="126">
        <f>AU7+1</f>
        <v>2018</v>
      </c>
      <c r="AW7" s="1" t="s">
        <v>137</v>
      </c>
      <c r="AX7" s="1" t="s">
        <v>121</v>
      </c>
    </row>
    <row r="8" spans="1:50" x14ac:dyDescent="0.25">
      <c r="A8" s="57" t="s">
        <v>58</v>
      </c>
      <c r="B8" s="58"/>
      <c r="C8" s="58"/>
      <c r="D8" s="59"/>
      <c r="E8" s="84"/>
      <c r="F8" s="15"/>
      <c r="G8" s="19"/>
      <c r="H8" s="19"/>
      <c r="I8" s="19"/>
      <c r="J8" s="19"/>
      <c r="K8" s="19"/>
      <c r="L8" s="19"/>
      <c r="M8" s="19"/>
      <c r="N8" s="19"/>
      <c r="O8" s="19"/>
      <c r="P8" s="19"/>
      <c r="Q8" s="19"/>
      <c r="R8" s="19"/>
      <c r="S8" s="19"/>
      <c r="T8" s="19"/>
      <c r="U8" s="19"/>
      <c r="V8" s="19"/>
      <c r="W8" s="20"/>
      <c r="X8" s="84"/>
      <c r="Y8" s="33"/>
      <c r="Z8" s="31"/>
      <c r="AA8" s="31"/>
      <c r="AB8" s="31"/>
      <c r="AC8" s="31"/>
      <c r="AD8" s="31"/>
      <c r="AE8" s="31"/>
      <c r="AF8" s="31"/>
      <c r="AG8" s="31"/>
      <c r="AH8" s="31"/>
      <c r="AI8" s="31"/>
      <c r="AJ8" s="31"/>
      <c r="AK8" s="31"/>
      <c r="AL8" s="31"/>
      <c r="AM8" s="31"/>
      <c r="AN8" s="31"/>
      <c r="AO8" s="31"/>
      <c r="AP8" s="31"/>
      <c r="AQ8" s="31"/>
      <c r="AR8" s="32"/>
      <c r="AT8" s="127" t="s">
        <v>123</v>
      </c>
      <c r="AU8" s="128">
        <f>DATE(AU7,1,1)</f>
        <v>42736</v>
      </c>
      <c r="AV8" s="128">
        <f>DATE(AV7,1,1)</f>
        <v>43101</v>
      </c>
      <c r="AW8" s="1" t="s">
        <v>139</v>
      </c>
      <c r="AX8">
        <v>1</v>
      </c>
    </row>
    <row r="9" spans="1:50" x14ac:dyDescent="0.25">
      <c r="A9" s="57" t="s">
        <v>3</v>
      </c>
      <c r="B9" s="60">
        <v>1</v>
      </c>
      <c r="C9" s="58"/>
      <c r="D9" s="59"/>
      <c r="E9" s="84"/>
      <c r="F9" s="14" t="s">
        <v>2</v>
      </c>
      <c r="G9" s="26"/>
      <c r="H9" s="26"/>
      <c r="I9" s="26"/>
      <c r="J9" s="26"/>
      <c r="K9" s="26"/>
      <c r="L9" s="19"/>
      <c r="M9" s="19"/>
      <c r="N9" s="19"/>
      <c r="O9" s="19"/>
      <c r="P9" s="19"/>
      <c r="Q9" s="19"/>
      <c r="R9" s="19"/>
      <c r="S9" s="19"/>
      <c r="T9" s="19"/>
      <c r="U9" s="19"/>
      <c r="V9" s="19"/>
      <c r="W9" s="20"/>
      <c r="Y9" s="30" t="str">
        <f>IF(B13=1,"De Aanbestedingsplanner rekent vanaf de datum van uitnodiging naar het moment van gunning","De Aanbestedingsplanner berekent vanaf het gunningsmoment naar de datum van uitnodiging")</f>
        <v>De Aanbestedingsplanner rekent vanaf de datum van uitnodiging naar het moment van gunning</v>
      </c>
      <c r="Z9" s="31"/>
      <c r="AA9" s="31"/>
      <c r="AB9" s="31"/>
      <c r="AC9" s="31"/>
      <c r="AD9" s="31"/>
      <c r="AE9" s="31"/>
      <c r="AF9" s="31"/>
      <c r="AG9" s="31"/>
      <c r="AH9" s="31"/>
      <c r="AI9" s="31"/>
      <c r="AJ9" s="31"/>
      <c r="AK9" s="31"/>
      <c r="AL9" s="31"/>
      <c r="AM9" s="31"/>
      <c r="AN9" s="31"/>
      <c r="AO9" s="31"/>
      <c r="AP9" s="31"/>
      <c r="AQ9" s="31"/>
      <c r="AR9" s="32"/>
      <c r="AT9" s="129"/>
      <c r="AU9" s="130"/>
      <c r="AV9" s="130"/>
      <c r="AW9" s="1" t="s">
        <v>138</v>
      </c>
      <c r="AX9">
        <v>17</v>
      </c>
    </row>
    <row r="10" spans="1:50" x14ac:dyDescent="0.25">
      <c r="A10" s="61"/>
      <c r="B10" s="58"/>
      <c r="C10" s="58"/>
      <c r="D10" s="59"/>
      <c r="E10" s="84"/>
      <c r="F10" s="15"/>
      <c r="G10" s="19"/>
      <c r="H10" s="19"/>
      <c r="I10" s="19"/>
      <c r="J10" s="19"/>
      <c r="K10" s="19"/>
      <c r="L10" s="19"/>
      <c r="M10" s="19"/>
      <c r="N10" s="19"/>
      <c r="O10" s="19"/>
      <c r="P10" s="19"/>
      <c r="Q10" s="19"/>
      <c r="R10" s="19"/>
      <c r="S10" s="19"/>
      <c r="T10" s="19"/>
      <c r="U10" s="19"/>
      <c r="V10" s="19"/>
      <c r="W10" s="20"/>
      <c r="X10" s="84"/>
      <c r="Y10" s="33"/>
      <c r="Z10" s="31"/>
      <c r="AA10" s="31"/>
      <c r="AB10" s="31"/>
      <c r="AC10" s="31"/>
      <c r="AD10" s="31"/>
      <c r="AE10" s="31"/>
      <c r="AF10" s="31"/>
      <c r="AG10" s="31"/>
      <c r="AH10" s="31"/>
      <c r="AI10" s="31"/>
      <c r="AJ10" s="31"/>
      <c r="AK10" s="31"/>
      <c r="AL10" s="31"/>
      <c r="AM10" s="31"/>
      <c r="AN10" s="31"/>
      <c r="AO10" s="31"/>
      <c r="AP10" s="31"/>
      <c r="AQ10" s="31"/>
      <c r="AR10" s="32"/>
      <c r="AT10" s="129"/>
      <c r="AU10" s="130"/>
      <c r="AV10" s="130"/>
      <c r="AW10" s="133" t="s">
        <v>138</v>
      </c>
      <c r="AX10">
        <v>18</v>
      </c>
    </row>
    <row r="11" spans="1:50" x14ac:dyDescent="0.25">
      <c r="A11" s="57" t="s">
        <v>51</v>
      </c>
      <c r="B11" s="58"/>
      <c r="C11" s="58"/>
      <c r="D11" s="59"/>
      <c r="E11" s="84"/>
      <c r="F11" s="14" t="s">
        <v>4</v>
      </c>
      <c r="G11" s="26"/>
      <c r="H11" s="26"/>
      <c r="I11" s="26"/>
      <c r="J11" s="26"/>
      <c r="K11" s="26"/>
      <c r="L11" s="21"/>
      <c r="M11" s="19"/>
      <c r="N11" s="19"/>
      <c r="O11" s="19"/>
      <c r="P11" s="19"/>
      <c r="Q11" s="19"/>
      <c r="R11" s="19"/>
      <c r="S11" s="19"/>
      <c r="T11" s="19"/>
      <c r="U11" s="19"/>
      <c r="V11" s="19"/>
      <c r="W11" s="20"/>
      <c r="X11" s="84"/>
      <c r="Y11" s="30" t="s">
        <v>43</v>
      </c>
      <c r="Z11" s="31"/>
      <c r="AA11" s="31"/>
      <c r="AB11" s="31"/>
      <c r="AC11" s="31"/>
      <c r="AD11" s="31"/>
      <c r="AE11" s="31"/>
      <c r="AF11" s="31"/>
      <c r="AG11" s="31"/>
      <c r="AH11" s="31"/>
      <c r="AI11" s="31"/>
      <c r="AJ11" s="31"/>
      <c r="AK11" s="31"/>
      <c r="AL11" s="31"/>
      <c r="AM11" s="31"/>
      <c r="AN11" s="31"/>
      <c r="AO11" s="31"/>
      <c r="AP11" s="31"/>
      <c r="AQ11" s="31"/>
      <c r="AR11" s="32"/>
      <c r="AT11" s="129" t="s">
        <v>124</v>
      </c>
      <c r="AU11" s="130">
        <f>AU12-3</f>
        <v>42839</v>
      </c>
      <c r="AV11" s="130">
        <f>AV12-3</f>
        <v>43189</v>
      </c>
      <c r="AW11" s="133" t="s">
        <v>140</v>
      </c>
      <c r="AX11">
        <v>28</v>
      </c>
    </row>
    <row r="12" spans="1:50" x14ac:dyDescent="0.25">
      <c r="A12" s="57" t="s">
        <v>34</v>
      </c>
      <c r="B12" s="58"/>
      <c r="C12" s="58"/>
      <c r="D12" s="59"/>
      <c r="E12" s="84"/>
      <c r="F12" s="15" t="s">
        <v>5</v>
      </c>
      <c r="G12" s="19"/>
      <c r="H12" s="19"/>
      <c r="I12" s="19"/>
      <c r="J12" s="19"/>
      <c r="K12" s="19"/>
      <c r="L12" s="149" t="s">
        <v>187</v>
      </c>
      <c r="M12" s="150"/>
      <c r="N12" s="151"/>
      <c r="O12" s="19"/>
      <c r="P12" s="19"/>
      <c r="Q12" s="19"/>
      <c r="R12" s="19"/>
      <c r="S12" s="19"/>
      <c r="T12" s="19"/>
      <c r="U12" s="19"/>
      <c r="V12" s="19"/>
      <c r="W12" s="20"/>
      <c r="X12" s="84"/>
      <c r="Y12" s="30" t="str">
        <f>IF(B13=1,"Dit is de datum van verzending van de uitnodiging","Dit is de datum van gunning")</f>
        <v>Dit is de datum van verzending van de uitnodiging</v>
      </c>
      <c r="Z12" s="31"/>
      <c r="AA12" s="31"/>
      <c r="AB12" s="31"/>
      <c r="AC12" s="31"/>
      <c r="AD12" s="31"/>
      <c r="AE12" s="31"/>
      <c r="AF12" s="31"/>
      <c r="AG12" s="31"/>
      <c r="AH12" s="31"/>
      <c r="AI12" s="31"/>
      <c r="AJ12" s="31"/>
      <c r="AK12" s="31"/>
      <c r="AL12" s="31"/>
      <c r="AM12" s="31"/>
      <c r="AN12" s="31"/>
      <c r="AO12" s="31"/>
      <c r="AP12" s="31"/>
      <c r="AQ12" s="31"/>
      <c r="AR12" s="32"/>
      <c r="AT12" s="129" t="s">
        <v>125</v>
      </c>
      <c r="AU12" s="130">
        <f>FIXED(("4/"&amp;AU7)/7+MOD(MOD(AU7,19)*19-7,30)*14%,0)*7-5</f>
        <v>42842</v>
      </c>
      <c r="AV12" s="130">
        <f>FIXED(("4/"&amp;AV7)/7+MOD(MOD(AV7,19)*19-7,30)*14%,0)*7-5</f>
        <v>43192</v>
      </c>
      <c r="AW12" s="133" t="s">
        <v>140</v>
      </c>
      <c r="AX12">
        <v>29</v>
      </c>
    </row>
    <row r="13" spans="1:50" x14ac:dyDescent="0.25">
      <c r="A13" s="61" t="s">
        <v>3</v>
      </c>
      <c r="B13" s="60">
        <v>1</v>
      </c>
      <c r="C13" s="58"/>
      <c r="D13" s="59"/>
      <c r="E13" s="84"/>
      <c r="F13" s="15"/>
      <c r="G13" s="19"/>
      <c r="H13" s="19"/>
      <c r="I13" s="19"/>
      <c r="J13" s="19"/>
      <c r="K13" s="19"/>
      <c r="L13" s="22"/>
      <c r="M13" s="19"/>
      <c r="N13" s="19"/>
      <c r="O13" s="19"/>
      <c r="P13" s="19"/>
      <c r="Q13" s="19"/>
      <c r="R13" s="19"/>
      <c r="S13" s="19"/>
      <c r="T13" s="19"/>
      <c r="U13" s="19"/>
      <c r="V13" s="19"/>
      <c r="W13" s="20"/>
      <c r="X13" s="84"/>
      <c r="Y13" s="33"/>
      <c r="Z13" s="31"/>
      <c r="AA13" s="31"/>
      <c r="AB13" s="31"/>
      <c r="AC13" s="31"/>
      <c r="AD13" s="31"/>
      <c r="AE13" s="31"/>
      <c r="AF13" s="31"/>
      <c r="AG13" s="31"/>
      <c r="AH13" s="31"/>
      <c r="AI13" s="31"/>
      <c r="AJ13" s="31"/>
      <c r="AK13" s="31"/>
      <c r="AL13" s="31"/>
      <c r="AM13" s="31"/>
      <c r="AN13" s="31"/>
      <c r="AO13" s="31"/>
      <c r="AP13" s="31"/>
      <c r="AQ13" s="31"/>
      <c r="AR13" s="32"/>
      <c r="AT13" s="129" t="s">
        <v>126</v>
      </c>
      <c r="AU13" s="130">
        <f>DATE(AU7,4,27)</f>
        <v>42852</v>
      </c>
      <c r="AV13" s="130">
        <f>DATE(AV7,4,27)</f>
        <v>43217</v>
      </c>
      <c r="AW13" s="133" t="s">
        <v>140</v>
      </c>
      <c r="AX13">
        <v>30</v>
      </c>
    </row>
    <row r="14" spans="1:50" x14ac:dyDescent="0.25">
      <c r="A14" s="54" t="s">
        <v>39</v>
      </c>
      <c r="B14" s="55"/>
      <c r="C14" s="55"/>
      <c r="D14" s="56"/>
      <c r="E14" s="84"/>
      <c r="F14" s="16" t="s">
        <v>38</v>
      </c>
      <c r="G14" s="184"/>
      <c r="H14" s="184"/>
      <c r="I14" s="184"/>
      <c r="J14" s="184"/>
      <c r="K14" s="184"/>
      <c r="L14" s="184"/>
      <c r="M14" s="184"/>
      <c r="N14" s="23"/>
      <c r="O14" s="23"/>
      <c r="P14" s="23"/>
      <c r="Q14" s="24"/>
      <c r="R14" s="23"/>
      <c r="S14" s="23"/>
      <c r="T14" s="23"/>
      <c r="U14" s="23"/>
      <c r="V14" s="23"/>
      <c r="W14" s="25"/>
      <c r="X14" s="84"/>
      <c r="Y14" s="33"/>
      <c r="Z14" s="31"/>
      <c r="AA14" s="31"/>
      <c r="AB14" s="31"/>
      <c r="AC14" s="31"/>
      <c r="AD14" s="31"/>
      <c r="AE14" s="31"/>
      <c r="AF14" s="31"/>
      <c r="AG14" s="31"/>
      <c r="AH14" s="31"/>
      <c r="AI14" s="31"/>
      <c r="AJ14" s="31"/>
      <c r="AK14" s="31"/>
      <c r="AL14" s="31"/>
      <c r="AM14" s="31"/>
      <c r="AN14" s="31"/>
      <c r="AO14" s="31"/>
      <c r="AP14" s="31"/>
      <c r="AQ14" s="31"/>
      <c r="AR14" s="32"/>
      <c r="AT14" s="129" t="s">
        <v>127</v>
      </c>
      <c r="AU14" s="130">
        <f>DATE(AU7,5,5)</f>
        <v>42860</v>
      </c>
      <c r="AV14" s="130">
        <f>DATE(AV7,5,5)</f>
        <v>43225</v>
      </c>
      <c r="AW14" s="133" t="s">
        <v>140</v>
      </c>
      <c r="AX14">
        <v>31</v>
      </c>
    </row>
    <row r="15" spans="1:50" x14ac:dyDescent="0.25">
      <c r="A15" s="57" t="s">
        <v>30</v>
      </c>
      <c r="B15" s="60" t="b">
        <v>0</v>
      </c>
      <c r="C15" s="58"/>
      <c r="D15" s="59"/>
      <c r="E15" s="84"/>
      <c r="F15" s="17"/>
      <c r="G15" s="185"/>
      <c r="H15" s="185"/>
      <c r="I15" s="185"/>
      <c r="J15" s="185"/>
      <c r="K15" s="185"/>
      <c r="L15" s="185"/>
      <c r="M15" s="185"/>
      <c r="N15" s="19"/>
      <c r="O15" s="19"/>
      <c r="P15" s="19"/>
      <c r="Q15" s="22"/>
      <c r="R15" s="19"/>
      <c r="S15" s="19"/>
      <c r="T15" s="19"/>
      <c r="U15" s="19"/>
      <c r="V15" s="19"/>
      <c r="W15" s="20"/>
      <c r="X15" s="84"/>
      <c r="Y15" s="30" t="s">
        <v>54</v>
      </c>
      <c r="Z15" s="31"/>
      <c r="AA15" s="31"/>
      <c r="AB15" s="31"/>
      <c r="AC15" s="31"/>
      <c r="AD15" s="31"/>
      <c r="AE15" s="31"/>
      <c r="AF15" s="31"/>
      <c r="AG15" s="31"/>
      <c r="AH15" s="31"/>
      <c r="AI15" s="31"/>
      <c r="AJ15" s="31"/>
      <c r="AK15" s="31"/>
      <c r="AL15" s="31"/>
      <c r="AM15" s="31"/>
      <c r="AN15" s="31"/>
      <c r="AO15" s="31"/>
      <c r="AP15" s="31"/>
      <c r="AQ15" s="31"/>
      <c r="AR15" s="32"/>
      <c r="AT15" s="129" t="s">
        <v>128</v>
      </c>
      <c r="AU15" s="130">
        <f>AU12+38</f>
        <v>42880</v>
      </c>
      <c r="AV15" s="130">
        <f>AV12+38</f>
        <v>43230</v>
      </c>
      <c r="AW15" s="133" t="s">
        <v>140</v>
      </c>
      <c r="AX15">
        <v>32</v>
      </c>
    </row>
    <row r="16" spans="1:50" x14ac:dyDescent="0.25">
      <c r="A16" s="57" t="s">
        <v>6</v>
      </c>
      <c r="B16" s="60" t="b">
        <v>0</v>
      </c>
      <c r="C16" s="60">
        <f>IF(B16=FALSE,45,29)</f>
        <v>45</v>
      </c>
      <c r="D16" s="62">
        <f>IF(B16=FALSE,21,21)</f>
        <v>21</v>
      </c>
      <c r="E16" s="84"/>
      <c r="F16" s="18"/>
      <c r="G16" s="22"/>
      <c r="H16" s="22"/>
      <c r="I16" s="22"/>
      <c r="J16" s="22"/>
      <c r="K16" s="22"/>
      <c r="L16" s="22"/>
      <c r="M16" s="22"/>
      <c r="N16" s="19"/>
      <c r="O16" s="19"/>
      <c r="P16" s="19"/>
      <c r="Q16" s="19"/>
      <c r="R16" s="19"/>
      <c r="S16" s="19"/>
      <c r="T16" s="19"/>
      <c r="U16" s="19"/>
      <c r="V16" s="19"/>
      <c r="W16" s="20"/>
      <c r="X16" s="84"/>
      <c r="Y16" s="30"/>
      <c r="Z16" s="31"/>
      <c r="AA16" s="31"/>
      <c r="AB16" s="31"/>
      <c r="AC16" s="31"/>
      <c r="AD16" s="31"/>
      <c r="AE16" s="31"/>
      <c r="AF16" s="31"/>
      <c r="AG16" s="31"/>
      <c r="AH16" s="31"/>
      <c r="AI16" s="31"/>
      <c r="AJ16" s="31"/>
      <c r="AK16" s="31"/>
      <c r="AL16" s="31"/>
      <c r="AM16" s="31"/>
      <c r="AN16" s="31"/>
      <c r="AO16" s="31"/>
      <c r="AP16" s="31"/>
      <c r="AQ16" s="31"/>
      <c r="AR16" s="32"/>
      <c r="AT16" s="129" t="s">
        <v>129</v>
      </c>
      <c r="AU16" s="130">
        <f>AU12+39</f>
        <v>42881</v>
      </c>
      <c r="AV16" s="130">
        <f>AV12+39</f>
        <v>43231</v>
      </c>
      <c r="AW16" s="133" t="s">
        <v>140</v>
      </c>
      <c r="AX16">
        <v>33</v>
      </c>
    </row>
    <row r="17" spans="1:50" x14ac:dyDescent="0.25">
      <c r="A17" s="57" t="s">
        <v>16</v>
      </c>
      <c r="B17" s="60" t="b">
        <v>1</v>
      </c>
      <c r="C17" s="60">
        <f>IF(B17=FALSE,5,0)</f>
        <v>0</v>
      </c>
      <c r="D17" s="62">
        <f>IF(B17=FALSE,0,-2)</f>
        <v>-2</v>
      </c>
      <c r="E17" s="84"/>
      <c r="F17" s="18"/>
      <c r="G17" s="22"/>
      <c r="H17" s="22"/>
      <c r="I17" s="22"/>
      <c r="J17" s="22"/>
      <c r="K17" s="22"/>
      <c r="L17" s="22"/>
      <c r="M17" s="22"/>
      <c r="N17" s="26"/>
      <c r="O17" s="19"/>
      <c r="P17" s="19"/>
      <c r="Q17" s="19"/>
      <c r="R17" s="19"/>
      <c r="S17" s="19"/>
      <c r="T17" s="19"/>
      <c r="U17" s="19"/>
      <c r="V17" s="19"/>
      <c r="W17" s="20"/>
      <c r="X17" s="84"/>
      <c r="Y17" s="30" t="s">
        <v>63</v>
      </c>
      <c r="Z17" s="31"/>
      <c r="AA17" s="31"/>
      <c r="AB17" s="31"/>
      <c r="AC17" s="31"/>
      <c r="AD17" s="31"/>
      <c r="AE17" s="31"/>
      <c r="AF17" s="31"/>
      <c r="AG17" s="31"/>
      <c r="AH17" s="31"/>
      <c r="AI17" s="31"/>
      <c r="AJ17" s="31"/>
      <c r="AK17" s="31"/>
      <c r="AL17" s="31"/>
      <c r="AM17" s="31"/>
      <c r="AN17" s="31"/>
      <c r="AO17" s="31"/>
      <c r="AP17" s="31"/>
      <c r="AQ17" s="31"/>
      <c r="AR17" s="32"/>
      <c r="AT17" s="129" t="s">
        <v>130</v>
      </c>
      <c r="AU17" s="130">
        <f>AU12+49</f>
        <v>42891</v>
      </c>
      <c r="AV17" s="130">
        <f>AV12+49</f>
        <v>43241</v>
      </c>
      <c r="AW17" s="133" t="s">
        <v>140</v>
      </c>
      <c r="AX17">
        <v>34</v>
      </c>
    </row>
    <row r="18" spans="1:50" x14ac:dyDescent="0.25">
      <c r="A18" s="57" t="s">
        <v>7</v>
      </c>
      <c r="B18" s="60" t="b">
        <v>0</v>
      </c>
      <c r="C18" s="60">
        <f>IF(B18=FALSE,0,-5)</f>
        <v>0</v>
      </c>
      <c r="D18" s="62">
        <f>IF(B18=FALSE,0,0)</f>
        <v>0</v>
      </c>
      <c r="E18" s="84"/>
      <c r="F18" s="15"/>
      <c r="G18" s="19"/>
      <c r="H18" s="19"/>
      <c r="I18" s="19"/>
      <c r="J18" s="19"/>
      <c r="K18" s="19"/>
      <c r="L18" s="19"/>
      <c r="M18" s="19"/>
      <c r="N18" s="26"/>
      <c r="O18" s="19"/>
      <c r="P18" s="19"/>
      <c r="Q18" s="19"/>
      <c r="R18" s="19"/>
      <c r="S18" s="19"/>
      <c r="T18" s="19"/>
      <c r="U18" s="19"/>
      <c r="V18" s="19"/>
      <c r="W18" s="20"/>
      <c r="X18" s="84"/>
      <c r="Y18" s="30" t="s">
        <v>64</v>
      </c>
      <c r="Z18" s="31"/>
      <c r="AA18" s="31"/>
      <c r="AB18" s="31"/>
      <c r="AC18" s="31"/>
      <c r="AD18" s="31"/>
      <c r="AE18" s="31"/>
      <c r="AF18" s="31"/>
      <c r="AG18" s="31"/>
      <c r="AH18" s="31"/>
      <c r="AI18" s="31"/>
      <c r="AJ18" s="31"/>
      <c r="AK18" s="31"/>
      <c r="AL18" s="31"/>
      <c r="AM18" s="31"/>
      <c r="AN18" s="31"/>
      <c r="AO18" s="31"/>
      <c r="AP18" s="31"/>
      <c r="AQ18" s="31"/>
      <c r="AR18" s="32"/>
      <c r="AT18" s="129" t="s">
        <v>131</v>
      </c>
      <c r="AU18" s="130">
        <f>DATE(AU7,12,25)</f>
        <v>43094</v>
      </c>
      <c r="AV18" s="130">
        <f>DATE(AV7,12,25)</f>
        <v>43459</v>
      </c>
      <c r="AW18" s="133" t="s">
        <v>140</v>
      </c>
      <c r="AX18">
        <v>35</v>
      </c>
    </row>
    <row r="19" spans="1:50" x14ac:dyDescent="0.25">
      <c r="A19" s="57" t="s">
        <v>8</v>
      </c>
      <c r="B19" s="60" t="b">
        <f>IF(B20=TRUE,TRUE,C19)</f>
        <v>0</v>
      </c>
      <c r="C19" s="60" t="b">
        <v>0</v>
      </c>
      <c r="D19" s="59"/>
      <c r="E19" s="84"/>
      <c r="F19" s="15"/>
      <c r="G19" s="19"/>
      <c r="H19" s="19"/>
      <c r="I19" s="19"/>
      <c r="J19" s="19"/>
      <c r="K19" s="19"/>
      <c r="L19" s="19"/>
      <c r="M19" s="19"/>
      <c r="N19" s="19"/>
      <c r="O19" s="19"/>
      <c r="P19" s="19"/>
      <c r="Q19" s="19"/>
      <c r="R19" s="19"/>
      <c r="S19" s="19"/>
      <c r="T19" s="19"/>
      <c r="U19" s="19"/>
      <c r="V19" s="19"/>
      <c r="W19" s="20"/>
      <c r="X19" s="84"/>
      <c r="Y19" s="33"/>
      <c r="Z19" s="31"/>
      <c r="AA19" s="31"/>
      <c r="AB19" s="31"/>
      <c r="AC19" s="31"/>
      <c r="AD19" s="31"/>
      <c r="AE19" s="31"/>
      <c r="AF19" s="31"/>
      <c r="AG19" s="31"/>
      <c r="AH19" s="31"/>
      <c r="AI19" s="31"/>
      <c r="AJ19" s="31"/>
      <c r="AK19" s="31"/>
      <c r="AL19" s="31"/>
      <c r="AM19" s="31"/>
      <c r="AN19" s="31"/>
      <c r="AO19" s="31"/>
      <c r="AP19" s="31"/>
      <c r="AQ19" s="31"/>
      <c r="AR19" s="32"/>
      <c r="AT19" s="129" t="s">
        <v>132</v>
      </c>
      <c r="AU19" s="130">
        <f>DATE(AU7,12,26)</f>
        <v>43095</v>
      </c>
      <c r="AV19" s="130">
        <f>DATE(AV7,12,26)</f>
        <v>43460</v>
      </c>
      <c r="AW19" s="133" t="s">
        <v>139</v>
      </c>
      <c r="AX19">
        <f>WEEKNUM(AU19,21)</f>
        <v>52</v>
      </c>
    </row>
    <row r="20" spans="1:50" ht="15.75" thickBot="1" x14ac:dyDescent="0.3">
      <c r="A20" s="63" t="s">
        <v>25</v>
      </c>
      <c r="B20" s="64" t="b">
        <f>C20</f>
        <v>0</v>
      </c>
      <c r="C20" s="64" t="b">
        <v>0</v>
      </c>
      <c r="D20" s="65"/>
      <c r="E20" s="84"/>
      <c r="F20" s="27"/>
      <c r="G20" s="28"/>
      <c r="H20" s="28"/>
      <c r="I20" s="28"/>
      <c r="J20" s="28"/>
      <c r="K20" s="28"/>
      <c r="L20" s="28"/>
      <c r="M20" s="28"/>
      <c r="N20" s="28"/>
      <c r="O20" s="28"/>
      <c r="P20" s="28"/>
      <c r="Q20" s="28"/>
      <c r="R20" s="28"/>
      <c r="S20" s="28"/>
      <c r="T20" s="28"/>
      <c r="U20" s="28"/>
      <c r="V20" s="28"/>
      <c r="W20" s="29"/>
      <c r="X20" s="84"/>
      <c r="Y20" s="34" t="s">
        <v>65</v>
      </c>
      <c r="Z20" s="35"/>
      <c r="AA20" s="35"/>
      <c r="AB20" s="35"/>
      <c r="AC20" s="35"/>
      <c r="AD20" s="35"/>
      <c r="AE20" s="35"/>
      <c r="AF20" s="35"/>
      <c r="AG20" s="35"/>
      <c r="AH20" s="35"/>
      <c r="AI20" s="35"/>
      <c r="AJ20" s="35"/>
      <c r="AK20" s="35"/>
      <c r="AL20" s="35"/>
      <c r="AM20" s="35"/>
      <c r="AN20" s="35"/>
      <c r="AO20" s="35"/>
      <c r="AP20" s="35"/>
      <c r="AQ20" s="35"/>
      <c r="AR20" s="36"/>
      <c r="AT20" s="131" t="s">
        <v>133</v>
      </c>
      <c r="AU20" s="132">
        <f>DATE(AU7,12,31)</f>
        <v>43100</v>
      </c>
      <c r="AV20" s="132">
        <f>DATE(AV7,12,31)</f>
        <v>43465</v>
      </c>
      <c r="AW20" s="133" t="s">
        <v>139</v>
      </c>
      <c r="AX20">
        <v>53</v>
      </c>
    </row>
    <row r="21" spans="1:50" ht="7.5" customHeight="1" thickBot="1" x14ac:dyDescent="0.3">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5"/>
      <c r="AQ21" s="85"/>
      <c r="AR21" s="85"/>
    </row>
    <row r="22" spans="1:50" ht="21" thickBot="1" x14ac:dyDescent="0.35">
      <c r="A22" s="5" t="s">
        <v>41</v>
      </c>
      <c r="B22" s="6"/>
      <c r="C22" s="6"/>
      <c r="D22" s="6"/>
      <c r="E22" s="84"/>
      <c r="F22" s="79" t="s">
        <v>59</v>
      </c>
      <c r="G22" s="186"/>
      <c r="H22" s="186"/>
      <c r="I22" s="186"/>
      <c r="J22" s="186"/>
      <c r="K22" s="186"/>
      <c r="L22" s="186"/>
      <c r="M22" s="186"/>
      <c r="N22" s="80"/>
      <c r="O22" s="80"/>
      <c r="P22" s="80"/>
      <c r="Q22" s="80"/>
      <c r="R22" s="80"/>
      <c r="S22" s="80"/>
      <c r="T22" s="80"/>
      <c r="U22" s="80"/>
      <c r="V22" s="80"/>
      <c r="W22" s="81"/>
      <c r="X22" s="80"/>
      <c r="Y22" s="80"/>
      <c r="Z22" s="80"/>
      <c r="AA22" s="80"/>
      <c r="AB22" s="80"/>
      <c r="AC22" s="80"/>
      <c r="AD22" s="80"/>
      <c r="AE22" s="80"/>
      <c r="AF22" s="80"/>
      <c r="AG22" s="80"/>
      <c r="AH22" s="80"/>
      <c r="AI22" s="80"/>
      <c r="AJ22" s="80"/>
      <c r="AK22" s="80"/>
      <c r="AL22" s="80"/>
      <c r="AM22" s="82"/>
      <c r="AN22" s="80"/>
      <c r="AO22" s="80"/>
      <c r="AP22" s="82"/>
      <c r="AQ22" s="82"/>
      <c r="AR22" s="83"/>
    </row>
    <row r="23" spans="1:50" ht="7.5" customHeight="1" x14ac:dyDescent="0.3">
      <c r="A23" s="84"/>
      <c r="B23" s="84"/>
      <c r="C23" s="84"/>
      <c r="D23" s="84"/>
      <c r="E23" s="84"/>
      <c r="F23" s="86"/>
      <c r="G23" s="86"/>
      <c r="H23" s="86"/>
      <c r="I23" s="86"/>
      <c r="J23" s="86"/>
      <c r="K23" s="86"/>
      <c r="L23" s="86"/>
      <c r="M23" s="86"/>
      <c r="N23" s="84"/>
      <c r="O23" s="84"/>
      <c r="P23" s="84"/>
      <c r="Q23" s="84"/>
      <c r="R23" s="84"/>
      <c r="S23" s="84"/>
      <c r="T23" s="84"/>
      <c r="U23" s="84"/>
      <c r="V23" s="84"/>
      <c r="W23" s="87"/>
      <c r="X23" s="84"/>
      <c r="Y23" s="84"/>
      <c r="Z23" s="84"/>
      <c r="AA23" s="84"/>
      <c r="AB23" s="84"/>
      <c r="AC23" s="84"/>
      <c r="AD23" s="84"/>
      <c r="AE23" s="84"/>
      <c r="AF23" s="84"/>
      <c r="AG23" s="84"/>
      <c r="AH23" s="84"/>
      <c r="AI23" s="84"/>
      <c r="AJ23" s="84"/>
      <c r="AK23" s="84"/>
      <c r="AL23" s="84"/>
      <c r="AM23" s="85"/>
      <c r="AN23" s="84"/>
      <c r="AO23" s="84"/>
      <c r="AP23" s="85"/>
      <c r="AQ23" s="85"/>
      <c r="AR23" s="85"/>
    </row>
    <row r="24" spans="1:50" ht="15" customHeight="1" x14ac:dyDescent="0.25">
      <c r="A24" s="66" t="s">
        <v>40</v>
      </c>
      <c r="B24" s="67"/>
      <c r="C24" s="68"/>
      <c r="D24" s="69"/>
      <c r="E24" s="84"/>
      <c r="F24" s="41" t="s">
        <v>35</v>
      </c>
      <c r="G24" s="187"/>
      <c r="H24" s="187"/>
      <c r="I24" s="187"/>
      <c r="J24" s="187"/>
      <c r="K24" s="187"/>
      <c r="L24" s="187"/>
      <c r="M24" s="187"/>
      <c r="N24" s="42"/>
      <c r="O24" s="42"/>
      <c r="P24" s="42"/>
      <c r="Q24" s="42"/>
      <c r="R24" s="42"/>
      <c r="S24" s="42"/>
      <c r="T24" s="42"/>
      <c r="U24" s="42"/>
      <c r="V24" s="42"/>
      <c r="W24" s="43"/>
      <c r="X24" s="84"/>
      <c r="Y24" s="38" t="s">
        <v>36</v>
      </c>
      <c r="Z24" s="39"/>
      <c r="AA24" s="39"/>
      <c r="AB24" s="39"/>
      <c r="AC24" s="39"/>
      <c r="AD24" s="39"/>
      <c r="AE24" s="39"/>
      <c r="AF24" s="39"/>
      <c r="AG24" s="39"/>
      <c r="AH24" s="39"/>
      <c r="AI24" s="39"/>
      <c r="AJ24" s="39"/>
      <c r="AK24" s="39"/>
      <c r="AL24" s="39"/>
      <c r="AM24" s="50"/>
      <c r="AN24" s="39"/>
      <c r="AO24" s="39"/>
      <c r="AP24" s="50"/>
      <c r="AQ24" s="50"/>
      <c r="AR24" s="51"/>
    </row>
    <row r="25" spans="1:50" ht="15.75" thickBot="1" x14ac:dyDescent="0.3">
      <c r="A25" s="70" t="s">
        <v>13</v>
      </c>
      <c r="B25" s="71" t="s">
        <v>14</v>
      </c>
      <c r="C25" s="72"/>
      <c r="D25" s="73"/>
      <c r="E25" s="84"/>
      <c r="F25" s="44" t="s">
        <v>49</v>
      </c>
      <c r="G25" s="188"/>
      <c r="H25" s="188"/>
      <c r="I25" s="188"/>
      <c r="J25" s="188"/>
      <c r="K25" s="188"/>
      <c r="L25" s="188"/>
      <c r="M25" s="188"/>
      <c r="N25" s="45"/>
      <c r="O25" s="45"/>
      <c r="P25" s="45"/>
      <c r="Q25" s="45"/>
      <c r="R25" s="45"/>
      <c r="S25" s="45"/>
      <c r="T25" s="45"/>
      <c r="U25" s="45"/>
      <c r="V25" s="45"/>
      <c r="W25" s="46"/>
      <c r="X25" s="84"/>
      <c r="Y25" s="30" t="s">
        <v>37</v>
      </c>
      <c r="Z25" s="31"/>
      <c r="AA25" s="31"/>
      <c r="AB25" s="31"/>
      <c r="AC25" s="31"/>
      <c r="AD25" s="31"/>
      <c r="AE25" s="31"/>
      <c r="AF25" s="31"/>
      <c r="AG25" s="31"/>
      <c r="AH25" s="31"/>
      <c r="AI25" s="31"/>
      <c r="AJ25" s="31"/>
      <c r="AK25" s="31"/>
      <c r="AL25" s="31"/>
      <c r="AM25" s="31"/>
      <c r="AN25" s="52"/>
      <c r="AO25" s="31"/>
      <c r="AP25" s="52"/>
      <c r="AQ25" s="52"/>
      <c r="AR25" s="32"/>
      <c r="AT25" s="1" t="s">
        <v>120</v>
      </c>
      <c r="AU25" s="1" t="s">
        <v>121</v>
      </c>
      <c r="AX25" s="1" t="s">
        <v>166</v>
      </c>
    </row>
    <row r="26" spans="1:50" ht="15.75" thickBot="1" x14ac:dyDescent="0.3">
      <c r="A26" s="74"/>
      <c r="B26" s="72"/>
      <c r="C26" s="72"/>
      <c r="D26" s="73"/>
      <c r="E26" s="84"/>
      <c r="F26" s="44" t="s">
        <v>53</v>
      </c>
      <c r="G26" s="188"/>
      <c r="H26" s="9" t="s">
        <v>48</v>
      </c>
      <c r="I26" s="10"/>
      <c r="J26" s="10"/>
      <c r="K26" s="10"/>
      <c r="L26" s="10"/>
      <c r="M26" s="10"/>
      <c r="N26" s="10"/>
      <c r="O26" s="10"/>
      <c r="P26" s="10"/>
      <c r="Q26" s="174" t="str">
        <f>IF(B13=1,L12,IF(B20=FALSE,Q30-B30,R27-B27))</f>
        <v>3-4-2017</v>
      </c>
      <c r="R26" s="178"/>
      <c r="S26" s="178"/>
      <c r="T26" s="179"/>
      <c r="U26" s="45"/>
      <c r="V26" s="45"/>
      <c r="W26" s="46"/>
      <c r="X26" s="84"/>
      <c r="Y26" s="53" t="str">
        <f>IF(B15=TRUE,"VERKORT OOK DE DOORLOOPTIJDEN VAN DE BEOORDELING!","")</f>
        <v/>
      </c>
      <c r="Z26" s="31"/>
      <c r="AA26" s="31"/>
      <c r="AB26" s="31"/>
      <c r="AC26" s="31"/>
      <c r="AD26" s="31"/>
      <c r="AE26" s="31"/>
      <c r="AF26" s="31"/>
      <c r="AG26" s="31"/>
      <c r="AH26" s="31"/>
      <c r="AI26" s="31"/>
      <c r="AJ26" s="31"/>
      <c r="AK26" s="31"/>
      <c r="AL26" s="31"/>
      <c r="AM26" s="31"/>
      <c r="AN26" s="52"/>
      <c r="AO26" s="31"/>
      <c r="AP26" s="52"/>
      <c r="AQ26" s="31"/>
      <c r="AR26" s="32"/>
      <c r="AT26" t="str">
        <f>IF(Q26&lt;&gt;"",TEXT(Q26,"dddd"),"")</f>
        <v>maandag</v>
      </c>
      <c r="AU26">
        <f>WEEKNUM(Q26,21)</f>
        <v>14</v>
      </c>
      <c r="AX26" s="183">
        <f>Q26+1</f>
        <v>42829</v>
      </c>
    </row>
    <row r="27" spans="1:50" x14ac:dyDescent="0.25">
      <c r="A27" s="75">
        <v>7</v>
      </c>
      <c r="B27" s="76">
        <v>4</v>
      </c>
      <c r="C27" s="72"/>
      <c r="D27" s="73"/>
      <c r="E27" s="84"/>
      <c r="F27" s="44"/>
      <c r="G27" s="188"/>
      <c r="H27" s="7" t="str">
        <f>IF(B19=TRUE,IF(B20=TRUE,"aanwijzing of schouw essentieel","aanwijzing of schouw"),"")</f>
        <v/>
      </c>
      <c r="I27" s="188"/>
      <c r="J27" s="188"/>
      <c r="K27" s="188"/>
      <c r="L27" s="188"/>
      <c r="M27" s="188"/>
      <c r="N27" s="188"/>
      <c r="O27" s="47"/>
      <c r="P27" s="47"/>
      <c r="Q27" s="47"/>
      <c r="R27" s="170" t="str">
        <f>IF(B19=TRUE,IF(B13=1,(Q26+B27+W27),IF(B20=FALSE,R28-(B27+W27),Q30-(B30+W27)))," ")</f>
        <v xml:space="preserve"> </v>
      </c>
      <c r="S27" s="170"/>
      <c r="T27" s="170"/>
      <c r="U27" s="45"/>
      <c r="V27" s="45"/>
      <c r="W27" s="104">
        <v>0</v>
      </c>
      <c r="X27" s="84"/>
      <c r="Y27" s="30" t="str">
        <f>IF(B20=TRUE,"7.7.4: inschrijvingstermijn wordt gerekend vanaf schouw opdat alle ondernemers kennis kunnen nemen van alle nodige informatie","")</f>
        <v/>
      </c>
      <c r="Z27" s="31"/>
      <c r="AA27" s="31"/>
      <c r="AB27" s="31"/>
      <c r="AC27" s="31"/>
      <c r="AD27" s="31"/>
      <c r="AE27" s="31"/>
      <c r="AF27" s="31"/>
      <c r="AG27" s="31"/>
      <c r="AH27" s="31"/>
      <c r="AI27" s="31"/>
      <c r="AJ27" s="31"/>
      <c r="AK27" s="31"/>
      <c r="AL27" s="31"/>
      <c r="AM27" s="31"/>
      <c r="AN27" s="31"/>
      <c r="AO27" s="31"/>
      <c r="AP27" s="31"/>
      <c r="AQ27" s="31"/>
      <c r="AR27" s="32"/>
      <c r="AT27" t="str">
        <f>IF(R27&lt;&gt;"",TEXT(R27,"dddd"),"")</f>
        <v xml:space="preserve"> </v>
      </c>
      <c r="AU27" t="e">
        <f>WEEKNUM(R27,21)</f>
        <v>#VALUE!</v>
      </c>
    </row>
    <row r="28" spans="1:50" x14ac:dyDescent="0.25">
      <c r="A28" s="75"/>
      <c r="B28" s="76"/>
      <c r="C28" s="72"/>
      <c r="D28" s="73"/>
      <c r="E28" s="84"/>
      <c r="F28" s="44"/>
      <c r="G28" s="188"/>
      <c r="H28" s="7" t="s">
        <v>11</v>
      </c>
      <c r="I28" s="188"/>
      <c r="J28" s="188"/>
      <c r="K28" s="188"/>
      <c r="L28" s="188"/>
      <c r="M28" s="188"/>
      <c r="N28" s="188"/>
      <c r="O28" s="47"/>
      <c r="P28" s="47"/>
      <c r="Q28" s="47"/>
      <c r="R28" s="171">
        <f>R29-W28</f>
        <v>42834</v>
      </c>
      <c r="S28" s="171"/>
      <c r="T28" s="171"/>
      <c r="U28" s="45"/>
      <c r="V28" s="45"/>
      <c r="W28" s="104">
        <v>7</v>
      </c>
      <c r="X28" s="84"/>
      <c r="Y28" s="30" t="str">
        <f>IF(B15=FALSE,"Zeven dagen is doorgaans een redelijke termijn om de antwoorden op de vragen te formuleren, mits de procedure dit toelaat","In urgente situatie de antwoorden snel formuleren, bijvoorbeeld binnen twee dagen")</f>
        <v>Zeven dagen is doorgaans een redelijke termijn om de antwoorden op de vragen te formuleren, mits de procedure dit toelaat</v>
      </c>
      <c r="Z28" s="31"/>
      <c r="AA28" s="31"/>
      <c r="AB28" s="31"/>
      <c r="AC28" s="31"/>
      <c r="AD28" s="31"/>
      <c r="AE28" s="31"/>
      <c r="AF28" s="31"/>
      <c r="AG28" s="31"/>
      <c r="AH28" s="31"/>
      <c r="AI28" s="31"/>
      <c r="AJ28" s="31"/>
      <c r="AK28" s="31"/>
      <c r="AL28" s="31"/>
      <c r="AM28" s="31"/>
      <c r="AN28" s="31"/>
      <c r="AO28" s="31"/>
      <c r="AP28" s="31"/>
      <c r="AQ28" s="31"/>
      <c r="AR28" s="32"/>
      <c r="AT28" t="str">
        <f>IF(R28&lt;&gt;"",TEXT(R28,"dddd"),"")</f>
        <v>zondag</v>
      </c>
      <c r="AU28">
        <f>WEEKNUM(R28,21)</f>
        <v>14</v>
      </c>
    </row>
    <row r="29" spans="1:50" ht="15.75" thickBot="1" x14ac:dyDescent="0.3">
      <c r="A29" s="75">
        <f>IF(B15=FALSE,10,4)</f>
        <v>10</v>
      </c>
      <c r="B29" s="76">
        <f>IF(B15=FALSE,6,4)</f>
        <v>6</v>
      </c>
      <c r="C29" s="72"/>
      <c r="D29" s="73"/>
      <c r="E29" s="84"/>
      <c r="F29" s="44" t="s">
        <v>62</v>
      </c>
      <c r="G29" s="188"/>
      <c r="H29" s="7" t="s">
        <v>12</v>
      </c>
      <c r="I29" s="188"/>
      <c r="J29" s="188"/>
      <c r="K29" s="188"/>
      <c r="L29" s="188"/>
      <c r="M29" s="188"/>
      <c r="N29" s="188"/>
      <c r="O29" s="47"/>
      <c r="P29" s="47"/>
      <c r="Q29" s="47"/>
      <c r="R29" s="172">
        <f>Q30-(B29+W29)</f>
        <v>42841</v>
      </c>
      <c r="S29" s="172"/>
      <c r="T29" s="172"/>
      <c r="U29" s="45"/>
      <c r="V29" s="45"/>
      <c r="W29" s="104">
        <v>0</v>
      </c>
      <c r="X29" s="84"/>
      <c r="Y29" s="30" t="str">
        <f>IF(B15=FALSE,"7.11.1: uiterlijk 6 dagen voor uiterste datum inschrijving","7.11.1: In urgente situatie uiterlijk 4 dagen voor uiterste datum inschrijving")</f>
        <v>7.11.1: uiterlijk 6 dagen voor uiterste datum inschrijving</v>
      </c>
      <c r="Z29" s="31"/>
      <c r="AA29" s="31"/>
      <c r="AB29" s="31"/>
      <c r="AC29" s="31"/>
      <c r="AD29" s="31"/>
      <c r="AE29" s="31"/>
      <c r="AF29" s="31"/>
      <c r="AG29" s="31"/>
      <c r="AH29" s="31"/>
      <c r="AI29" s="31"/>
      <c r="AJ29" s="31"/>
      <c r="AK29" s="31"/>
      <c r="AL29" s="31"/>
      <c r="AM29" s="31"/>
      <c r="AN29" s="31"/>
      <c r="AO29" s="31"/>
      <c r="AP29" s="31"/>
      <c r="AQ29" s="31"/>
      <c r="AR29" s="32"/>
      <c r="AT29" t="str">
        <f>IF(R29&lt;&gt;"",TEXT(R29,"dddd"),"")</f>
        <v>zondag</v>
      </c>
      <c r="AU29">
        <f>WEEKNUM(R29,21)</f>
        <v>15</v>
      </c>
    </row>
    <row r="30" spans="1:50" ht="15.75" thickBot="1" x14ac:dyDescent="0.3">
      <c r="A30" s="77">
        <f>IF(B15=TRUE,15,SUM(C16:C18))</f>
        <v>45</v>
      </c>
      <c r="B30" s="78">
        <f>IF(B15=TRUE,10,SUM(D16:D18))</f>
        <v>19</v>
      </c>
      <c r="C30" s="72"/>
      <c r="D30" s="73"/>
      <c r="E30" s="84"/>
      <c r="F30" s="44"/>
      <c r="G30" s="188"/>
      <c r="H30" s="12" t="s">
        <v>23</v>
      </c>
      <c r="I30" s="10"/>
      <c r="J30" s="10"/>
      <c r="K30" s="10"/>
      <c r="L30" s="10"/>
      <c r="M30" s="10"/>
      <c r="N30" s="10"/>
      <c r="O30" s="10"/>
      <c r="P30" s="10"/>
      <c r="Q30" s="174">
        <f>IF(B13=1,IF(B20=TRUE,R27+B30+W30,Q26+B30+W30),R33-W30)</f>
        <v>42847</v>
      </c>
      <c r="R30" s="178"/>
      <c r="S30" s="178"/>
      <c r="T30" s="179"/>
      <c r="U30" s="45"/>
      <c r="V30" s="45"/>
      <c r="W30" s="104">
        <v>0</v>
      </c>
      <c r="X30" s="84"/>
      <c r="Y30" s="30" t="str">
        <f>IF(B15=FALSE,"7.9.1: minimumtermijn 21 dagen na uitnodiging, excl verkortingsmogelijkheid","7.9.3: minimumtermijn in urgente situaties 10 dagen na uitnodiging")</f>
        <v>7.9.1: minimumtermijn 21 dagen na uitnodiging, excl verkortingsmogelijkheid</v>
      </c>
      <c r="Z30" s="31"/>
      <c r="AA30" s="31"/>
      <c r="AB30" s="31"/>
      <c r="AC30" s="31"/>
      <c r="AD30" s="31"/>
      <c r="AE30" s="31"/>
      <c r="AF30" s="31"/>
      <c r="AG30" s="31"/>
      <c r="AH30" s="31"/>
      <c r="AI30" s="31"/>
      <c r="AJ30" s="31"/>
      <c r="AK30" s="31"/>
      <c r="AL30" s="31"/>
      <c r="AM30" s="31"/>
      <c r="AN30" s="31"/>
      <c r="AO30" s="31"/>
      <c r="AP30" s="31"/>
      <c r="AQ30" s="31"/>
      <c r="AR30" s="32"/>
      <c r="AT30" t="str">
        <f>IF(Q30&lt;&gt;"",TEXT(Q30,"dddd"),"")</f>
        <v>zaterdag</v>
      </c>
      <c r="AU30">
        <f>WEEKNUM(Q30,21)</f>
        <v>16</v>
      </c>
    </row>
    <row r="31" spans="1:50" ht="7.5" customHeight="1" x14ac:dyDescent="0.25">
      <c r="A31" s="77"/>
      <c r="B31" s="78"/>
      <c r="C31" s="72"/>
      <c r="D31" s="73"/>
      <c r="E31" s="84"/>
      <c r="F31" s="44"/>
      <c r="G31" s="188"/>
      <c r="H31" s="8"/>
      <c r="I31" s="188"/>
      <c r="J31" s="188"/>
      <c r="K31" s="188"/>
      <c r="L31" s="188"/>
      <c r="M31" s="188"/>
      <c r="N31" s="188"/>
      <c r="O31" s="45"/>
      <c r="P31" s="45"/>
      <c r="Q31" s="45"/>
      <c r="R31" s="45"/>
      <c r="S31" s="45"/>
      <c r="T31" s="49"/>
      <c r="U31" s="45"/>
      <c r="V31" s="45"/>
      <c r="W31" s="48"/>
      <c r="X31" s="84"/>
      <c r="Y31" s="30"/>
      <c r="Z31" s="31"/>
      <c r="AA31" s="31"/>
      <c r="AB31" s="31"/>
      <c r="AC31" s="31"/>
      <c r="AD31" s="31"/>
      <c r="AE31" s="31"/>
      <c r="AF31" s="31"/>
      <c r="AG31" s="31"/>
      <c r="AH31" s="31"/>
      <c r="AI31" s="31"/>
      <c r="AJ31" s="31"/>
      <c r="AK31" s="31"/>
      <c r="AL31" s="31"/>
      <c r="AM31" s="31"/>
      <c r="AN31" s="31"/>
      <c r="AO31" s="31"/>
      <c r="AP31" s="31"/>
      <c r="AQ31" s="31"/>
      <c r="AR31" s="32"/>
      <c r="AT31" t="str">
        <f>IF(T31&lt;&gt;"",TEXT(T31,"dddd"),"")</f>
        <v/>
      </c>
    </row>
    <row r="32" spans="1:50" x14ac:dyDescent="0.25">
      <c r="A32" s="75"/>
      <c r="B32" s="76"/>
      <c r="C32" s="72"/>
      <c r="D32" s="73"/>
      <c r="E32" s="84"/>
      <c r="F32" s="44" t="s">
        <v>68</v>
      </c>
      <c r="G32" s="188"/>
      <c r="H32" s="7" t="s">
        <v>70</v>
      </c>
      <c r="I32" s="188"/>
      <c r="J32" s="188"/>
      <c r="K32" s="188"/>
      <c r="L32" s="188"/>
      <c r="M32" s="188"/>
      <c r="N32" s="188"/>
      <c r="O32" s="47"/>
      <c r="P32" s="47"/>
      <c r="Q32" s="123"/>
      <c r="R32" s="171">
        <f>Q30+2</f>
        <v>42849</v>
      </c>
      <c r="S32" s="171"/>
      <c r="T32" s="171"/>
      <c r="U32" s="45"/>
      <c r="V32" s="45"/>
      <c r="W32" s="46"/>
      <c r="X32" s="84"/>
      <c r="Y32" s="30" t="s">
        <v>69</v>
      </c>
      <c r="Z32" s="31"/>
      <c r="AA32" s="31"/>
      <c r="AB32" s="31"/>
      <c r="AC32" s="31"/>
      <c r="AD32" s="31"/>
      <c r="AE32" s="31"/>
      <c r="AF32" s="31"/>
      <c r="AG32" s="31"/>
      <c r="AH32" s="31"/>
      <c r="AI32" s="31"/>
      <c r="AJ32" s="31"/>
      <c r="AK32" s="31"/>
      <c r="AL32" s="31"/>
      <c r="AM32" s="31"/>
      <c r="AN32" s="31"/>
      <c r="AO32" s="31"/>
      <c r="AP32" s="31"/>
      <c r="AQ32" s="31"/>
      <c r="AR32" s="32"/>
      <c r="AT32" t="str">
        <f>IF(R32&lt;&gt;"",TEXT(R32,"dddd"),"")</f>
        <v>maandag</v>
      </c>
      <c r="AU32">
        <f>WEEKNUM(R32,21)</f>
        <v>17</v>
      </c>
    </row>
    <row r="33" spans="1:50" x14ac:dyDescent="0.25">
      <c r="A33" s="75"/>
      <c r="B33" s="76"/>
      <c r="C33" s="72"/>
      <c r="D33" s="73"/>
      <c r="E33" s="84"/>
      <c r="F33" s="44" t="s">
        <v>55</v>
      </c>
      <c r="G33" s="188"/>
      <c r="H33" s="7" t="s">
        <v>52</v>
      </c>
      <c r="I33" s="188"/>
      <c r="J33" s="188"/>
      <c r="K33" s="188"/>
      <c r="L33" s="188"/>
      <c r="M33" s="188"/>
      <c r="N33" s="188"/>
      <c r="O33" s="47"/>
      <c r="P33" s="47"/>
      <c r="Q33" s="123"/>
      <c r="R33" s="171">
        <f>IF(B13=1,Q30+W33,R34-W33)</f>
        <v>42848</v>
      </c>
      <c r="S33" s="171"/>
      <c r="T33" s="171"/>
      <c r="U33" s="45"/>
      <c r="V33" s="45"/>
      <c r="W33" s="104">
        <v>1</v>
      </c>
      <c r="X33" s="84"/>
      <c r="Y33" s="33"/>
      <c r="Z33" s="31"/>
      <c r="AA33" s="31"/>
      <c r="AB33" s="31"/>
      <c r="AC33" s="31"/>
      <c r="AD33" s="31"/>
      <c r="AE33" s="31"/>
      <c r="AF33" s="31"/>
      <c r="AG33" s="31"/>
      <c r="AH33" s="31"/>
      <c r="AI33" s="31"/>
      <c r="AJ33" s="31"/>
      <c r="AK33" s="31"/>
      <c r="AL33" s="31"/>
      <c r="AM33" s="31"/>
      <c r="AN33" s="31"/>
      <c r="AO33" s="31"/>
      <c r="AP33" s="31"/>
      <c r="AQ33" s="31"/>
      <c r="AR33" s="32"/>
      <c r="AT33" t="str">
        <f>IF(R33&lt;&gt;"",TEXT(R33,"dddd"),"")</f>
        <v>zondag</v>
      </c>
      <c r="AU33">
        <f>WEEKNUM(R33,21)</f>
        <v>16</v>
      </c>
    </row>
    <row r="34" spans="1:50" x14ac:dyDescent="0.25">
      <c r="A34" s="75"/>
      <c r="B34" s="76"/>
      <c r="C34" s="72"/>
      <c r="D34" s="73"/>
      <c r="E34" s="84"/>
      <c r="F34" s="44" t="s">
        <v>60</v>
      </c>
      <c r="G34" s="188"/>
      <c r="H34" s="7" t="s">
        <v>19</v>
      </c>
      <c r="I34" s="188"/>
      <c r="J34" s="188"/>
      <c r="K34" s="188"/>
      <c r="L34" s="188"/>
      <c r="M34" s="188"/>
      <c r="N34" s="188"/>
      <c r="O34" s="47"/>
      <c r="P34" s="47"/>
      <c r="Q34" s="123"/>
      <c r="R34" s="171">
        <f>IF(B13=1,R33+W34,R35-W34)</f>
        <v>42851</v>
      </c>
      <c r="S34" s="171"/>
      <c r="T34" s="171"/>
      <c r="U34" s="45"/>
      <c r="V34" s="45"/>
      <c r="W34" s="104">
        <v>3</v>
      </c>
      <c r="X34" s="84"/>
      <c r="Y34" s="33"/>
      <c r="Z34" s="31"/>
      <c r="AA34" s="31"/>
      <c r="AB34" s="31"/>
      <c r="AC34" s="31"/>
      <c r="AD34" s="31"/>
      <c r="AE34" s="31"/>
      <c r="AF34" s="31"/>
      <c r="AG34" s="31"/>
      <c r="AH34" s="31"/>
      <c r="AI34" s="31"/>
      <c r="AJ34" s="31"/>
      <c r="AK34" s="31"/>
      <c r="AL34" s="31"/>
      <c r="AM34" s="31"/>
      <c r="AN34" s="31"/>
      <c r="AO34" s="31"/>
      <c r="AP34" s="31"/>
      <c r="AQ34" s="31"/>
      <c r="AR34" s="32"/>
      <c r="AT34" t="str">
        <f>IF(R34&lt;&gt;"",TEXT(R34,"dddd"),"")</f>
        <v>woensdag</v>
      </c>
      <c r="AU34">
        <f>WEEKNUM(R34,21)</f>
        <v>17</v>
      </c>
    </row>
    <row r="35" spans="1:50" x14ac:dyDescent="0.25">
      <c r="A35" s="75"/>
      <c r="B35" s="76"/>
      <c r="C35" s="72"/>
      <c r="D35" s="73"/>
      <c r="E35" s="84"/>
      <c r="F35" s="44" t="s">
        <v>61</v>
      </c>
      <c r="G35" s="188"/>
      <c r="H35" s="7" t="s">
        <v>20</v>
      </c>
      <c r="I35" s="188"/>
      <c r="J35" s="188"/>
      <c r="K35" s="188"/>
      <c r="L35" s="188"/>
      <c r="M35" s="188"/>
      <c r="N35" s="188"/>
      <c r="O35" s="47"/>
      <c r="P35" s="47"/>
      <c r="Q35" s="123"/>
      <c r="R35" s="171">
        <f>IF(B13=1,R34+W35,R36-W35)</f>
        <v>42852</v>
      </c>
      <c r="S35" s="171"/>
      <c r="T35" s="171"/>
      <c r="U35" s="45"/>
      <c r="V35" s="45"/>
      <c r="W35" s="104">
        <v>1</v>
      </c>
      <c r="X35" s="84"/>
      <c r="Y35" s="33"/>
      <c r="Z35" s="31"/>
      <c r="AA35" s="31"/>
      <c r="AB35" s="31"/>
      <c r="AC35" s="31"/>
      <c r="AD35" s="31"/>
      <c r="AE35" s="31"/>
      <c r="AF35" s="31"/>
      <c r="AG35" s="31"/>
      <c r="AH35" s="31"/>
      <c r="AI35" s="31"/>
      <c r="AJ35" s="31"/>
      <c r="AK35" s="31"/>
      <c r="AL35" s="31"/>
      <c r="AM35" s="31"/>
      <c r="AN35" s="31"/>
      <c r="AO35" s="31"/>
      <c r="AP35" s="31"/>
      <c r="AQ35" s="31"/>
      <c r="AR35" s="32"/>
      <c r="AT35" t="str">
        <f>IF(R35&lt;&gt;"",TEXT(R35,"dddd"),"")</f>
        <v>donderdag</v>
      </c>
      <c r="AU35">
        <f>WEEKNUM(R35,21)</f>
        <v>17</v>
      </c>
    </row>
    <row r="36" spans="1:50" x14ac:dyDescent="0.25">
      <c r="A36" s="75"/>
      <c r="B36" s="76"/>
      <c r="C36" s="72"/>
      <c r="D36" s="73"/>
      <c r="E36" s="84"/>
      <c r="F36" s="44" t="s">
        <v>50</v>
      </c>
      <c r="G36" s="188"/>
      <c r="H36" s="7" t="s">
        <v>21</v>
      </c>
      <c r="I36" s="188"/>
      <c r="J36" s="188"/>
      <c r="K36" s="188"/>
      <c r="L36" s="188"/>
      <c r="M36" s="188"/>
      <c r="N36" s="188"/>
      <c r="O36" s="47"/>
      <c r="P36" s="47"/>
      <c r="Q36" s="123"/>
      <c r="R36" s="171">
        <f>IF(B13=1,R35+W36,R37-W36)</f>
        <v>42859</v>
      </c>
      <c r="S36" s="171"/>
      <c r="T36" s="171"/>
      <c r="U36" s="45"/>
      <c r="V36" s="45"/>
      <c r="W36" s="104">
        <v>7</v>
      </c>
      <c r="X36" s="84"/>
      <c r="Y36" s="33"/>
      <c r="Z36" s="31"/>
      <c r="AA36" s="31"/>
      <c r="AB36" s="31"/>
      <c r="AC36" s="31"/>
      <c r="AD36" s="31"/>
      <c r="AE36" s="31"/>
      <c r="AF36" s="31"/>
      <c r="AG36" s="31"/>
      <c r="AH36" s="31"/>
      <c r="AI36" s="31"/>
      <c r="AJ36" s="31"/>
      <c r="AK36" s="31"/>
      <c r="AL36" s="31"/>
      <c r="AM36" s="31"/>
      <c r="AN36" s="31"/>
      <c r="AO36" s="31"/>
      <c r="AP36" s="31"/>
      <c r="AQ36" s="31"/>
      <c r="AR36" s="32"/>
      <c r="AT36" t="str">
        <f>IF(R36&lt;&gt;"",TEXT(R36,"dddd"),"")</f>
        <v>donderdag</v>
      </c>
      <c r="AU36">
        <f>WEEKNUM(R36,21)</f>
        <v>18</v>
      </c>
    </row>
    <row r="37" spans="1:50" ht="15.75" thickBot="1" x14ac:dyDescent="0.3">
      <c r="A37" s="75"/>
      <c r="B37" s="76"/>
      <c r="C37" s="72"/>
      <c r="D37" s="73"/>
      <c r="E37" s="84"/>
      <c r="F37" s="44"/>
      <c r="G37" s="188"/>
      <c r="H37" s="7" t="s">
        <v>27</v>
      </c>
      <c r="I37" s="188"/>
      <c r="J37" s="188"/>
      <c r="K37" s="188"/>
      <c r="L37" s="188"/>
      <c r="M37" s="188"/>
      <c r="N37" s="188"/>
      <c r="O37" s="47"/>
      <c r="P37" s="47"/>
      <c r="Q37" s="123"/>
      <c r="R37" s="172">
        <f>IF(B13=1,R36+W37,Q38-W37)</f>
        <v>42860</v>
      </c>
      <c r="S37" s="172"/>
      <c r="T37" s="172"/>
      <c r="U37" s="45"/>
      <c r="V37" s="45"/>
      <c r="W37" s="104">
        <v>1</v>
      </c>
      <c r="X37" s="84"/>
      <c r="Y37" s="30" t="s">
        <v>31</v>
      </c>
      <c r="Z37" s="31"/>
      <c r="AA37" s="31"/>
      <c r="AB37" s="31"/>
      <c r="AC37" s="31"/>
      <c r="AD37" s="31"/>
      <c r="AE37" s="31"/>
      <c r="AF37" s="31"/>
      <c r="AG37" s="31"/>
      <c r="AH37" s="31"/>
      <c r="AI37" s="31"/>
      <c r="AJ37" s="31"/>
      <c r="AK37" s="31"/>
      <c r="AL37" s="31"/>
      <c r="AM37" s="31"/>
      <c r="AN37" s="31"/>
      <c r="AO37" s="31"/>
      <c r="AP37" s="31"/>
      <c r="AQ37" s="31"/>
      <c r="AR37" s="32"/>
      <c r="AT37" t="str">
        <f>IF(R37&lt;&gt;"",TEXT(R37,"dddd"),"")</f>
        <v>vrijdag</v>
      </c>
      <c r="AU37">
        <f>WEEKNUM(R37,21)</f>
        <v>18</v>
      </c>
    </row>
    <row r="38" spans="1:50" ht="15.75" thickBot="1" x14ac:dyDescent="0.3">
      <c r="A38" s="75"/>
      <c r="B38" s="76"/>
      <c r="C38" s="72"/>
      <c r="D38" s="73"/>
      <c r="E38" s="84"/>
      <c r="F38" s="44" t="s">
        <v>66</v>
      </c>
      <c r="G38" s="188"/>
      <c r="H38" s="13" t="s">
        <v>46</v>
      </c>
      <c r="I38" s="10"/>
      <c r="J38" s="10"/>
      <c r="K38" s="10"/>
      <c r="L38" s="10"/>
      <c r="M38" s="10"/>
      <c r="N38" s="10"/>
      <c r="O38" s="10"/>
      <c r="P38" s="10"/>
      <c r="Q38" s="174">
        <f>IF(B13=1,IF(B9=1,R37+W38,R37+W38),IF(B9=1,R40-(A40+W38),R40-(B40+W38)))</f>
        <v>42860</v>
      </c>
      <c r="R38" s="178"/>
      <c r="S38" s="178"/>
      <c r="T38" s="179"/>
      <c r="U38" s="45"/>
      <c r="V38" s="45"/>
      <c r="W38" s="104">
        <v>0</v>
      </c>
      <c r="X38" s="84"/>
      <c r="Y38" s="33"/>
      <c r="Z38" s="31"/>
      <c r="AA38" s="31"/>
      <c r="AB38" s="31"/>
      <c r="AC38" s="31"/>
      <c r="AD38" s="31"/>
      <c r="AE38" s="31"/>
      <c r="AF38" s="31"/>
      <c r="AG38" s="31"/>
      <c r="AH38" s="31"/>
      <c r="AI38" s="31"/>
      <c r="AJ38" s="31"/>
      <c r="AK38" s="31"/>
      <c r="AL38" s="31"/>
      <c r="AM38" s="31"/>
      <c r="AN38" s="31"/>
      <c r="AO38" s="31"/>
      <c r="AP38" s="31"/>
      <c r="AQ38" s="31"/>
      <c r="AR38" s="32"/>
      <c r="AT38" t="str">
        <f>IF(Q38&lt;&gt;"",TEXT(Q38,"dddd"),"")</f>
        <v>vrijdag</v>
      </c>
      <c r="AU38">
        <f>WEEKNUM(Q38,21)</f>
        <v>18</v>
      </c>
    </row>
    <row r="39" spans="1:50" ht="7.5" customHeight="1" x14ac:dyDescent="0.25">
      <c r="A39" s="75"/>
      <c r="B39" s="76"/>
      <c r="C39" s="72"/>
      <c r="D39" s="73"/>
      <c r="E39" s="84"/>
      <c r="F39" s="44"/>
      <c r="G39" s="188"/>
      <c r="H39" s="3"/>
      <c r="I39" s="188"/>
      <c r="J39" s="188"/>
      <c r="K39" s="188"/>
      <c r="L39" s="188"/>
      <c r="M39" s="188"/>
      <c r="N39" s="188"/>
      <c r="O39" s="45"/>
      <c r="P39" s="45"/>
      <c r="Q39" s="45"/>
      <c r="R39" s="45"/>
      <c r="S39" s="45"/>
      <c r="T39" s="49"/>
      <c r="U39" s="45"/>
      <c r="V39" s="45"/>
      <c r="W39" s="48"/>
      <c r="X39" s="84"/>
      <c r="Y39" s="33"/>
      <c r="Z39" s="31"/>
      <c r="AA39" s="31"/>
      <c r="AB39" s="31"/>
      <c r="AC39" s="31"/>
      <c r="AD39" s="31"/>
      <c r="AE39" s="31"/>
      <c r="AF39" s="31"/>
      <c r="AG39" s="31"/>
      <c r="AH39" s="31"/>
      <c r="AI39" s="31"/>
      <c r="AJ39" s="31"/>
      <c r="AK39" s="31"/>
      <c r="AL39" s="31"/>
      <c r="AM39" s="31"/>
      <c r="AN39" s="31"/>
      <c r="AO39" s="31"/>
      <c r="AP39" s="31"/>
      <c r="AQ39" s="31"/>
      <c r="AR39" s="32"/>
      <c r="AT39" t="str">
        <f>IF(T39&lt;&gt;"",TEXT(T39,"dddd"),"")</f>
        <v/>
      </c>
    </row>
    <row r="40" spans="1:50" ht="15.75" thickBot="1" x14ac:dyDescent="0.3">
      <c r="A40" s="75">
        <v>0</v>
      </c>
      <c r="B40" s="76">
        <v>0</v>
      </c>
      <c r="C40" s="72"/>
      <c r="D40" s="73"/>
      <c r="E40" s="84"/>
      <c r="F40" s="44"/>
      <c r="G40" s="188"/>
      <c r="H40" s="7" t="s">
        <v>32</v>
      </c>
      <c r="I40" s="188"/>
      <c r="J40" s="188"/>
      <c r="K40" s="188"/>
      <c r="L40" s="188"/>
      <c r="M40" s="188"/>
      <c r="N40" s="188"/>
      <c r="O40" s="47"/>
      <c r="P40" s="47"/>
      <c r="Q40" s="47"/>
      <c r="R40" s="172">
        <f>IF(B13=1,Q38+B40+W40,Q41-(B41+W40))</f>
        <v>42880</v>
      </c>
      <c r="S40" s="172"/>
      <c r="T40" s="172"/>
      <c r="U40" s="45"/>
      <c r="V40" s="45"/>
      <c r="W40" s="104">
        <v>20</v>
      </c>
      <c r="X40" s="84"/>
      <c r="Y40" s="30" t="s">
        <v>177</v>
      </c>
      <c r="Z40" s="31"/>
      <c r="AA40" s="31"/>
      <c r="AB40" s="31"/>
      <c r="AC40" s="31"/>
      <c r="AD40" s="31"/>
      <c r="AE40" s="31"/>
      <c r="AF40" s="31"/>
      <c r="AG40" s="31"/>
      <c r="AH40" s="31"/>
      <c r="AI40" s="31"/>
      <c r="AJ40" s="31"/>
      <c r="AK40" s="31"/>
      <c r="AL40" s="31"/>
      <c r="AM40" s="31"/>
      <c r="AN40" s="31"/>
      <c r="AO40" s="31"/>
      <c r="AP40" s="31"/>
      <c r="AQ40" s="31"/>
      <c r="AR40" s="32"/>
      <c r="AT40" t="str">
        <f>IF(R40&lt;&gt;"",TEXT(R40,"dddd"),"")</f>
        <v>donderdag</v>
      </c>
      <c r="AU40">
        <f>WEEKNUM(R40,21)</f>
        <v>21</v>
      </c>
      <c r="AX40" s="1" t="s">
        <v>166</v>
      </c>
    </row>
    <row r="41" spans="1:50" ht="15.75" thickBot="1" x14ac:dyDescent="0.3">
      <c r="A41" s="75">
        <v>1</v>
      </c>
      <c r="B41" s="76">
        <v>1</v>
      </c>
      <c r="C41" s="72"/>
      <c r="D41" s="73"/>
      <c r="E41" s="84"/>
      <c r="F41" s="44"/>
      <c r="G41" s="188"/>
      <c r="H41" s="12" t="s">
        <v>0</v>
      </c>
      <c r="I41" s="10"/>
      <c r="J41" s="10"/>
      <c r="K41" s="10"/>
      <c r="L41" s="10"/>
      <c r="M41" s="10"/>
      <c r="N41" s="10"/>
      <c r="O41" s="10"/>
      <c r="P41" s="10"/>
      <c r="Q41" s="174">
        <f>IF(B13=1,IF(B9=1,R40+A41+W41,R40+B41+W41),L12)</f>
        <v>42881</v>
      </c>
      <c r="R41" s="178"/>
      <c r="S41" s="178"/>
      <c r="T41" s="179"/>
      <c r="U41" s="45"/>
      <c r="V41" s="45"/>
      <c r="W41" s="104">
        <v>0</v>
      </c>
      <c r="X41" s="84"/>
      <c r="Y41" s="33"/>
      <c r="Z41" s="31"/>
      <c r="AA41" s="31"/>
      <c r="AB41" s="31"/>
      <c r="AC41" s="31"/>
      <c r="AD41" s="31"/>
      <c r="AE41" s="31"/>
      <c r="AF41" s="31"/>
      <c r="AG41" s="31"/>
      <c r="AH41" s="31"/>
      <c r="AI41" s="31"/>
      <c r="AJ41" s="31"/>
      <c r="AK41" s="31"/>
      <c r="AL41" s="31"/>
      <c r="AM41" s="31"/>
      <c r="AN41" s="31"/>
      <c r="AO41" s="31"/>
      <c r="AP41" s="31"/>
      <c r="AQ41" s="31"/>
      <c r="AR41" s="32"/>
      <c r="AT41" t="str">
        <f>IF(Q41&lt;&gt;"",TEXT(Q41,"dddd"),"")</f>
        <v>vrijdag</v>
      </c>
      <c r="AU41">
        <f>WEEKNUM(Q41,21)</f>
        <v>21</v>
      </c>
      <c r="AX41" s="183">
        <f>Q41-1</f>
        <v>42880</v>
      </c>
    </row>
    <row r="42" spans="1:50" ht="7.5" customHeight="1" x14ac:dyDescent="0.25">
      <c r="A42" s="75"/>
      <c r="B42" s="76"/>
      <c r="C42" s="72"/>
      <c r="D42" s="73"/>
      <c r="E42" s="84"/>
      <c r="F42" s="44"/>
      <c r="G42" s="188"/>
      <c r="H42" s="8"/>
      <c r="I42" s="188"/>
      <c r="J42" s="188"/>
      <c r="K42" s="188"/>
      <c r="L42" s="188"/>
      <c r="M42" s="188"/>
      <c r="N42" s="188"/>
      <c r="O42" s="45"/>
      <c r="P42" s="45"/>
      <c r="Q42" s="45"/>
      <c r="R42" s="45"/>
      <c r="S42" s="45"/>
      <c r="T42" s="49"/>
      <c r="U42" s="45"/>
      <c r="V42" s="45"/>
      <c r="W42" s="48"/>
      <c r="X42" s="84"/>
      <c r="Y42" s="33"/>
      <c r="Z42" s="31"/>
      <c r="AA42" s="31"/>
      <c r="AB42" s="31"/>
      <c r="AC42" s="31"/>
      <c r="AD42" s="31"/>
      <c r="AE42" s="31"/>
      <c r="AF42" s="31"/>
      <c r="AG42" s="31"/>
      <c r="AH42" s="31"/>
      <c r="AI42" s="31"/>
      <c r="AJ42" s="31"/>
      <c r="AK42" s="31"/>
      <c r="AL42" s="31"/>
      <c r="AM42" s="31"/>
      <c r="AN42" s="31"/>
      <c r="AO42" s="31"/>
      <c r="AP42" s="31"/>
      <c r="AQ42" s="31"/>
      <c r="AR42" s="32"/>
      <c r="AT42" t="str">
        <f>IF(T42&lt;&gt;"",TEXT(T42,"dddd"),"")</f>
        <v/>
      </c>
    </row>
    <row r="43" spans="1:50" x14ac:dyDescent="0.25">
      <c r="A43" s="75">
        <v>50</v>
      </c>
      <c r="B43" s="76">
        <v>30</v>
      </c>
      <c r="C43" s="72"/>
      <c r="D43" s="73"/>
      <c r="E43" s="84"/>
      <c r="F43" s="44"/>
      <c r="G43" s="188"/>
      <c r="H43" s="7" t="s">
        <v>24</v>
      </c>
      <c r="I43" s="188"/>
      <c r="J43" s="188"/>
      <c r="K43" s="188"/>
      <c r="L43" s="188"/>
      <c r="M43" s="188"/>
      <c r="N43" s="188"/>
      <c r="O43" s="47"/>
      <c r="P43" s="47"/>
      <c r="Q43" s="47"/>
      <c r="R43" s="171">
        <f>Q30+B43+W43</f>
        <v>42877</v>
      </c>
      <c r="S43" s="171"/>
      <c r="T43" s="171"/>
      <c r="U43" s="45"/>
      <c r="V43" s="45"/>
      <c r="W43" s="104">
        <v>0</v>
      </c>
      <c r="X43" s="84"/>
      <c r="Y43" s="30" t="s">
        <v>67</v>
      </c>
      <c r="Z43" s="31"/>
      <c r="AA43" s="31"/>
      <c r="AB43" s="31"/>
      <c r="AC43" s="31"/>
      <c r="AD43" s="31"/>
      <c r="AE43" s="31"/>
      <c r="AF43" s="31"/>
      <c r="AG43" s="31"/>
      <c r="AH43" s="31"/>
      <c r="AI43" s="31"/>
      <c r="AJ43" s="31"/>
      <c r="AK43" s="31"/>
      <c r="AL43" s="31"/>
      <c r="AM43" s="31"/>
      <c r="AN43" s="31"/>
      <c r="AO43" s="31"/>
      <c r="AP43" s="31"/>
      <c r="AQ43" s="31"/>
      <c r="AR43" s="32"/>
      <c r="AT43" t="str">
        <f>IF(R43&lt;&gt;"",TEXT(R43,"dddd"),"")</f>
        <v>maandag</v>
      </c>
      <c r="AU43">
        <f>WEEKNUM(R43,21)</f>
        <v>21</v>
      </c>
    </row>
    <row r="44" spans="1:50" x14ac:dyDescent="0.25">
      <c r="A44" s="75"/>
      <c r="B44" s="76">
        <f>3*365</f>
        <v>1095</v>
      </c>
      <c r="C44" s="72"/>
      <c r="D44" s="73"/>
      <c r="E44" s="84"/>
      <c r="F44" s="44" t="s">
        <v>71</v>
      </c>
      <c r="G44" s="188"/>
      <c r="H44" s="7" t="s">
        <v>180</v>
      </c>
      <c r="I44" s="188"/>
      <c r="J44" s="188"/>
      <c r="K44" s="188"/>
      <c r="L44" s="188"/>
      <c r="M44" s="188"/>
      <c r="N44" s="188"/>
      <c r="O44" s="47"/>
      <c r="P44" s="47"/>
      <c r="Q44" s="47"/>
      <c r="R44" s="171">
        <f>Q41+B44</f>
        <v>43976</v>
      </c>
      <c r="S44" s="171"/>
      <c r="T44" s="171"/>
      <c r="U44" s="45"/>
      <c r="V44" s="45"/>
      <c r="W44" s="46"/>
      <c r="X44" s="84"/>
      <c r="Y44" s="30" t="s">
        <v>72</v>
      </c>
      <c r="Z44" s="31"/>
      <c r="AA44" s="31"/>
      <c r="AB44" s="31"/>
      <c r="AC44" s="31"/>
      <c r="AD44" s="31"/>
      <c r="AE44" s="31"/>
      <c r="AF44" s="31"/>
      <c r="AG44" s="31"/>
      <c r="AH44" s="31"/>
      <c r="AI44" s="31"/>
      <c r="AJ44" s="31"/>
      <c r="AK44" s="31"/>
      <c r="AL44" s="31"/>
      <c r="AM44" s="31"/>
      <c r="AN44" s="31"/>
      <c r="AO44" s="31"/>
      <c r="AP44" s="31"/>
      <c r="AQ44" s="31"/>
      <c r="AR44" s="32"/>
      <c r="AT44" t="str">
        <f>IF(R44&lt;&gt;"",TEXT(R44,"dddd"),"")</f>
        <v>maandag</v>
      </c>
      <c r="AU44">
        <f>WEEKNUM(R44,21)</f>
        <v>22</v>
      </c>
    </row>
    <row r="45" spans="1:50" ht="14.25" customHeight="1" thickBot="1" x14ac:dyDescent="0.3">
      <c r="A45" s="189"/>
      <c r="B45" s="190"/>
      <c r="C45" s="190"/>
      <c r="D45" s="191"/>
      <c r="E45" s="84"/>
      <c r="F45" s="192"/>
      <c r="G45" s="195"/>
      <c r="H45" s="195"/>
      <c r="I45" s="195"/>
      <c r="J45" s="195"/>
      <c r="K45" s="195"/>
      <c r="L45" s="195"/>
      <c r="M45" s="195"/>
      <c r="N45" s="193"/>
      <c r="O45" s="193"/>
      <c r="P45" s="193"/>
      <c r="Q45" s="193"/>
      <c r="R45" s="193"/>
      <c r="S45" s="193"/>
      <c r="T45" s="193"/>
      <c r="U45" s="193"/>
      <c r="V45" s="193"/>
      <c r="W45" s="194"/>
      <c r="X45" s="84"/>
      <c r="Y45" s="136" t="s">
        <v>144</v>
      </c>
      <c r="Z45" s="134"/>
      <c r="AA45" s="134"/>
      <c r="AB45" s="134"/>
      <c r="AC45" s="134"/>
      <c r="AD45" s="134"/>
      <c r="AE45" s="134"/>
      <c r="AF45" s="134"/>
      <c r="AG45" s="134"/>
      <c r="AH45" s="134"/>
      <c r="AI45" s="134"/>
      <c r="AJ45" s="134"/>
      <c r="AK45" s="134"/>
      <c r="AL45" s="134"/>
      <c r="AM45" s="134"/>
      <c r="AN45" s="134"/>
      <c r="AO45" s="134"/>
      <c r="AP45" s="134"/>
      <c r="AQ45" s="134"/>
      <c r="AR45" s="135"/>
    </row>
    <row r="46" spans="1:50" ht="7.5" customHeight="1" thickBot="1" x14ac:dyDescent="0.3"/>
    <row r="47" spans="1:50" ht="15.75" thickBot="1" x14ac:dyDescent="0.3">
      <c r="A47" s="168" t="s">
        <v>162</v>
      </c>
      <c r="B47" s="166"/>
      <c r="C47" s="166"/>
      <c r="D47" s="167"/>
      <c r="F47" s="211"/>
      <c r="G47" s="212">
        <f>$A$48</f>
        <v>42826</v>
      </c>
      <c r="H47" s="213"/>
      <c r="I47" s="213"/>
      <c r="J47" s="213"/>
      <c r="K47" s="213"/>
      <c r="L47" s="213"/>
      <c r="M47" s="214"/>
      <c r="N47" s="155"/>
      <c r="O47" s="211"/>
      <c r="P47" s="212">
        <f>$G$47+32</f>
        <v>42858</v>
      </c>
      <c r="Q47" s="213"/>
      <c r="R47" s="213"/>
      <c r="S47" s="213"/>
      <c r="T47" s="213"/>
      <c r="U47" s="213"/>
      <c r="V47" s="213"/>
      <c r="W47" s="214"/>
      <c r="X47" s="155"/>
      <c r="Y47" s="211"/>
      <c r="Z47" s="212">
        <f>$P$47+31</f>
        <v>42889</v>
      </c>
      <c r="AA47" s="215"/>
      <c r="AB47" s="215"/>
      <c r="AC47" s="215"/>
      <c r="AD47" s="215"/>
      <c r="AE47" s="215"/>
      <c r="AF47" s="216"/>
      <c r="AG47" s="155"/>
      <c r="AH47" s="211"/>
      <c r="AI47" s="212">
        <f>$Z$47+31</f>
        <v>42920</v>
      </c>
      <c r="AJ47" s="215"/>
      <c r="AK47" s="215"/>
      <c r="AL47" s="215"/>
      <c r="AM47" s="215"/>
      <c r="AN47" s="215"/>
      <c r="AO47" s="216"/>
      <c r="AQ47" s="217" t="s">
        <v>167</v>
      </c>
      <c r="AR47" s="218"/>
    </row>
    <row r="48" spans="1:50" ht="15.75" thickBot="1" x14ac:dyDescent="0.3">
      <c r="A48" s="157">
        <f>DATE(B51,A51,1)</f>
        <v>42826</v>
      </c>
      <c r="B48" s="158"/>
      <c r="C48" s="159"/>
      <c r="D48" s="160"/>
      <c r="F48" s="219" t="s">
        <v>165</v>
      </c>
      <c r="G48" s="207" t="s">
        <v>155</v>
      </c>
      <c r="H48" s="208" t="s">
        <v>156</v>
      </c>
      <c r="I48" s="208" t="s">
        <v>157</v>
      </c>
      <c r="J48" s="208" t="s">
        <v>158</v>
      </c>
      <c r="K48" s="208" t="s">
        <v>159</v>
      </c>
      <c r="L48" s="209" t="s">
        <v>160</v>
      </c>
      <c r="M48" s="210" t="s">
        <v>161</v>
      </c>
      <c r="N48" s="155"/>
      <c r="O48" s="219" t="s">
        <v>165</v>
      </c>
      <c r="P48" s="207" t="s">
        <v>155</v>
      </c>
      <c r="Q48" s="208" t="s">
        <v>156</v>
      </c>
      <c r="R48" s="208" t="s">
        <v>157</v>
      </c>
      <c r="S48" s="208" t="s">
        <v>158</v>
      </c>
      <c r="T48" s="208" t="s">
        <v>159</v>
      </c>
      <c r="U48" s="224" t="s">
        <v>160</v>
      </c>
      <c r="V48" s="224"/>
      <c r="W48" s="210" t="s">
        <v>161</v>
      </c>
      <c r="X48" s="155"/>
      <c r="Y48" s="219" t="s">
        <v>165</v>
      </c>
      <c r="Z48" s="207" t="s">
        <v>155</v>
      </c>
      <c r="AA48" s="208" t="s">
        <v>156</v>
      </c>
      <c r="AB48" s="208" t="s">
        <v>157</v>
      </c>
      <c r="AC48" s="208" t="s">
        <v>158</v>
      </c>
      <c r="AD48" s="208" t="s">
        <v>159</v>
      </c>
      <c r="AE48" s="209" t="s">
        <v>160</v>
      </c>
      <c r="AF48" s="210" t="s">
        <v>161</v>
      </c>
      <c r="AG48" s="155"/>
      <c r="AH48" s="219" t="s">
        <v>165</v>
      </c>
      <c r="AI48" s="207" t="s">
        <v>155</v>
      </c>
      <c r="AJ48" s="208" t="s">
        <v>156</v>
      </c>
      <c r="AK48" s="208" t="s">
        <v>157</v>
      </c>
      <c r="AL48" s="208" t="s">
        <v>158</v>
      </c>
      <c r="AM48" s="208" t="s">
        <v>159</v>
      </c>
      <c r="AN48" s="209" t="s">
        <v>160</v>
      </c>
      <c r="AO48" s="210" t="s">
        <v>161</v>
      </c>
      <c r="AQ48" s="202" t="s">
        <v>170</v>
      </c>
      <c r="AR48" s="203">
        <f>Q30-(AX26-1)</f>
        <v>19</v>
      </c>
    </row>
    <row r="49" spans="1:44" x14ac:dyDescent="0.25">
      <c r="A49" s="161"/>
      <c r="B49" s="162"/>
      <c r="C49" s="159"/>
      <c r="D49" s="160"/>
      <c r="F49" s="230">
        <f>WEEKNUM(M49,21)</f>
        <v>13</v>
      </c>
      <c r="G49" s="220" t="str">
        <f>IF(AND(YEAR((DATE($B$51,$A$51,1)-WEEKDAY(DATE($B$51,$A$51,1),2)+1)+0)=$B$51,MONTH((DATE($B$51,$A$51,1)-WEEKDAY(DATE($B$51,$A$51,1),2)+1)+0)=$A$51),((DATE($B$51,$A$51,1)-WEEKDAY(DATE($B$51,$A$51,1),2)+1)+0), "")</f>
        <v/>
      </c>
      <c r="H49" s="196" t="str">
        <f>IF(AND(YEAR((DATE($B$51,$A$51,1)-WEEKDAY(DATE($B$51,$A$51,1),2)+1)+1)=$B$51,MONTH((DATE($B$51,$A$51,1)-WEEKDAY(DATE($B$51,$A$51,1),2)+1)+1)=$A$51),((DATE($B$51,$A$51,1)-WEEKDAY(DATE($B$51,$A$51,1),2)+1)+1), "")</f>
        <v/>
      </c>
      <c r="I49" s="196" t="str">
        <f>IF(AND(YEAR((DATE($B$51,$A$51,1)-WEEKDAY(DATE($B$51,$A$51,1),2)+1)+2)=$B$51,MONTH((DATE($B$51,$A$51,1)-WEEKDAY(DATE($B$51,$A$51,1),2)+1)+2)=$A$51),((DATE($B$51,$A$51,1)-WEEKDAY(DATE($B$51,$A$51,1),2)+1)+2), "")</f>
        <v/>
      </c>
      <c r="J49" s="196" t="str">
        <f>IF(AND(YEAR((DATE($B$51,$A$51,1)-WEEKDAY(DATE($B$51,$A$51,1),2)+1)+3)=$B$51,MONTH((DATE($B$51,$A$51,1)-WEEKDAY(DATE($B$51,$A$51,1),2)+1)+3)=$A$51),((DATE($B$51,$A$51,1)-WEEKDAY(DATE($B$51,$A$51,1),2)+1)+3), "")</f>
        <v/>
      </c>
      <c r="K49" s="196" t="str">
        <f>IF(AND(YEAR((DATE($B$51,$A$51,1)-WEEKDAY(DATE($B$51,$A$51,1),2)+1)+4)=$B$51,MONTH((DATE($B$51,$A$51,1)-WEEKDAY(DATE($B$51,$A$51,1),2)+1)+4)=$A$51),((DATE($B$51,$A$51,1)-WEEKDAY(DATE($B$51,$A$51,1),2)+1)+4), "")</f>
        <v/>
      </c>
      <c r="L49" s="197">
        <f>IF(AND(YEAR((DATE($B$51,$A$51,1)-WEEKDAY(DATE($B$51,$A$51,1),2)+1)+5)=$B$51,MONTH((DATE($B$51,$A$51,1)-WEEKDAY(DATE($B$51,$A$51,1),2)+1)+5)=$A$51),((DATE($B$51,$A$51,1)-WEEKDAY(DATE($B$51,$A$51,1),2)+1)+5), "")</f>
        <v>42826</v>
      </c>
      <c r="M49" s="198">
        <f>IF(AND(YEAR((DATE($B$51,$A$51,1)-WEEKDAY(DATE($B$51,$A$51,1),2)+1)+6)=$B$51,MONTH((DATE($B$51,$A$51,1)-WEEKDAY(DATE($B$51,$A$51,1),2)+1)+6)=$A$51),((DATE($B$51,$A$51,1)-WEEKDAY(DATE($B$51,$A$51,1),2)+1)+6), "")</f>
        <v>42827</v>
      </c>
      <c r="N49" s="155"/>
      <c r="O49" s="230">
        <f>WEEKNUM(W49,21)</f>
        <v>18</v>
      </c>
      <c r="P49" s="220">
        <f>IF(AND(YEAR((DATE($B$52,$A$52,1)-WEEKDAY(DATE($B$52,$A$52,1),2)+1)+0)=$B$52,MONTH((DATE($B$52,$A$52,1)-WEEKDAY(DATE($B$52,$A$52,1),2)+1)+0)=$A$52),((DATE($B$52,$A$52,1)-WEEKDAY(DATE($B$52,$A$52,1),2)+1)+0), "")</f>
        <v>42856</v>
      </c>
      <c r="Q49" s="196">
        <f>IF(AND(YEAR((DATE($B$52,$A$52,1)-WEEKDAY(DATE($B$52,$A$52,1),2)+1)+1)=$B$52,MONTH((DATE($B$52,$A$52,1)-WEEKDAY(DATE($B$52,$A$52,1),2)+1)+1)=$A$52),((DATE($B$52,$A$52,1)-WEEKDAY(DATE($B$52,$A$52,1),2)+1)+1), "")</f>
        <v>42857</v>
      </c>
      <c r="R49" s="196">
        <f>IF(AND(YEAR((DATE($B$52,$A$52,1)-WEEKDAY(DATE($B$52,$A$52,1),2)+1)+2)=$B$52,MONTH((DATE($B$52,$A$52,1)-WEEKDAY(DATE($B$52,$A$52,1),2)+1)+2)=$A$52),((DATE($B$52,$A$52,1)-WEEKDAY(DATE($B$52,$A$52,1),2)+1)+2), "")</f>
        <v>42858</v>
      </c>
      <c r="S49" s="196">
        <f>IF(AND(YEAR((DATE($B$52,$A$52,1)-WEEKDAY(DATE($B$52,$A$52,1),2)+1)+3)=$B$52,MONTH((DATE($B$52,$A$52,1)-WEEKDAY(DATE($B$52,$A$52,1),2)+1)+3)=$A$52),((DATE($B$52,$A$52,1)-WEEKDAY(DATE($B$52,$A$52,1),2)+1)+3), "")</f>
        <v>42859</v>
      </c>
      <c r="T49" s="196">
        <f>IF(AND(YEAR((DATE($B$52,$A$52,1)-WEEKDAY(DATE($B$52,$A$52,1),2)+1)+4)=$B$52,MONTH((DATE($B$52,$A$52,1)-WEEKDAY(DATE($B$52,$A$52,1),2)+1)+4)=$A$52),((DATE($B$52,$A$52,1)-WEEKDAY(DATE($B$52,$A$52,1),2)+1)+4), "")</f>
        <v>42860</v>
      </c>
      <c r="U49" s="222">
        <f>IF(AND(YEAR((DATE($B$52,$A$52,1)-WEEKDAY(DATE($B$52,$A$52,1),2)+1)+5)=$B$52,MONTH((DATE($B$52,$A$52,1)-WEEKDAY(DATE($B$52,$A$52,1),2)+1)+5)=$A$52),((DATE($B$52,$A$52,1)-WEEKDAY(DATE($B$52,$A$52,1),2)+1)+5), "")</f>
        <v>42861</v>
      </c>
      <c r="V49" s="222"/>
      <c r="W49" s="198">
        <f>IF(AND(YEAR((DATE($B$52,$A$52,1)-WEEKDAY(DATE($B$52,$A$52,1),2)+1)+6)=$B$52,MONTH((DATE($B$52,$A$52,1)-WEEKDAY(DATE($B$52,$A$52,1),2)+1)+6)=$A$52),((DATE($B$52,$A$52,1)-WEEKDAY(DATE($B$52,$A$52,1),2)+1)+6), "")</f>
        <v>42862</v>
      </c>
      <c r="X49" s="155"/>
      <c r="Y49" s="230">
        <f>WEEKNUM(AF49,21)</f>
        <v>22</v>
      </c>
      <c r="Z49" s="220" t="str">
        <f>IF(AND(YEAR((DATE($B$53,$A$53,1)-WEEKDAY(DATE($B$53,$A$53,1),2)+1)+0)=$B$53,MONTH((DATE($B$53,$A$53,1)-WEEKDAY(DATE($B$53,$A$53,1),2)+1)+0)=$A$53),((DATE($B$53,$A$53,1)-WEEKDAY(DATE($B$53,$A$53,1),2)+1)+0), "")</f>
        <v/>
      </c>
      <c r="AA49" s="196" t="str">
        <f>IF(AND(YEAR((DATE($B$53,$A$53,1)-WEEKDAY(DATE($B$53,$A$53,1),2)+1)+1)=$B$53,MONTH((DATE($B$53,$A$53,1)-WEEKDAY(DATE($B$53,$A$53,1),2)+1)+1)=$A$53),((DATE($B$53,$A$53,1)-WEEKDAY(DATE($B$53,$A$53,1),2)+1)+1), "")</f>
        <v/>
      </c>
      <c r="AB49" s="196" t="str">
        <f>IF(AND(YEAR((DATE($B$53,$A$53,1)-WEEKDAY(DATE($B$53,$A$53,1),2)+1)+2)=$B$53,MONTH((DATE($B$53,$A$53,1)-WEEKDAY(DATE($B$53,$A$53,1),2)+1)+2)=$A$53),((DATE($B$53,$A$53,1)-WEEKDAY(DATE($B$53,$A$53,1),2)+1)+2), "")</f>
        <v/>
      </c>
      <c r="AC49" s="196">
        <f>IF(AND(YEAR((DATE($B$53,$A$53,1)-WEEKDAY(DATE($B$53,$A$53,1),2)+1)+3)=$B$53,MONTH((DATE($B$53,$A$53,1)-WEEKDAY(DATE($B$53,$A$53,1),2)+1)+3)=$A$53),((DATE($B$53,$A$53,1)-WEEKDAY(DATE($B$53,$A$53,1),2)+1)+3), "")</f>
        <v>42887</v>
      </c>
      <c r="AD49" s="196">
        <f>IF(AND(YEAR((DATE($B$53,$A$53,1)-WEEKDAY(DATE($B$53,$A$53,1),2)+1)+4)=$B$53,MONTH((DATE($B$53,$A$53,1)-WEEKDAY(DATE($B$53,$A$53,1),2)+1)+4)=$A$53),((DATE($B$53,$A$53,1)-WEEKDAY(DATE($B$53,$A$53,1),2)+1)+4), "")</f>
        <v>42888</v>
      </c>
      <c r="AE49" s="197">
        <f>IF(AND(YEAR((DATE($B$53,$A$53,1)-WEEKDAY(DATE($B$53,$A$53,1),2)+1)+5)=$B$53,MONTH((DATE($B$53,$A$53,1)-WEEKDAY(DATE($B$53,$A$53,1),2)+1)+5)=$A$53),((DATE($B$53,$A$53,1)-WEEKDAY(DATE($B$53,$A$53,1),2)+1)+5), "")</f>
        <v>42889</v>
      </c>
      <c r="AF49" s="198">
        <f>IF(AND(YEAR((DATE($B$53,$A$53,1)-WEEKDAY(DATE($B$53,$A$53,1),2)+1)+6)=$B$53,MONTH((DATE($B$53,$A$53,1)-WEEKDAY(DATE($B$53,$A$53,1),2)+1)+6)=$A$53),((DATE($B$53,$A$53,1)-WEEKDAY(DATE($B$53,$A$53,1),2)+1)+6), "")</f>
        <v>42890</v>
      </c>
      <c r="AG49" s="155"/>
      <c r="AH49" s="230">
        <f>WEEKNUM(AO49,21)</f>
        <v>26</v>
      </c>
      <c r="AI49" s="220" t="str">
        <f>IF(AND(YEAR((DATE($B$54,$A$54,1)-WEEKDAY(DATE($B$54,$A$54,1),2)+1)+0)=$B$54,MONTH((DATE($B$54,$A$54,1)-WEEKDAY(DATE($B$54,$A$54,1),2)+1)+0)=$A$54),((DATE($B$54,$A$54,1)-WEEKDAY(DATE($B$54,$A$54,1),2)+1)+0), "")</f>
        <v/>
      </c>
      <c r="AJ49" s="196" t="str">
        <f>IF(AND(YEAR((DATE($B$54,$A$54,1)-WEEKDAY(DATE($B$54,$A$54,1),2)+1)+1)=$B$54,MONTH((DATE($B$54,$A$54,1)-WEEKDAY(DATE($B$54,$A$54,1),2)+1)+1)=$A$54),((DATE($B$54,$A$54,1)-WEEKDAY(DATE($B$54,$A$54,1),2)+1)+1), "")</f>
        <v/>
      </c>
      <c r="AK49" s="196" t="str">
        <f>IF(AND(YEAR((DATE($B$54,$A$54,1)-WEEKDAY(DATE($B$54,$A$54,1),2)+1)+2)=$B$54,MONTH((DATE($B$54,$A$54,1)-WEEKDAY(DATE($B$54,$A$54,1),2)+1)+2)=$A$54),((DATE($B$54,$A$54,1)-WEEKDAY(DATE($B$54,$A$54,1),2)+1)+2), "")</f>
        <v/>
      </c>
      <c r="AL49" s="196" t="str">
        <f>IF(AND(YEAR((DATE($B$54,$A$54,1)-WEEKDAY(DATE($B$54,$A$54,1),2)+1)+3)=$B$54,MONTH((DATE($B$54,$A$54,1)-WEEKDAY(DATE($B$54,$A$54,1),2)+1)+3)=$A$54),((DATE($B$54,$A$54,1)-WEEKDAY(DATE($B$54,$A$54,1),2)+1)+3), "")</f>
        <v/>
      </c>
      <c r="AM49" s="196" t="str">
        <f>IF(AND(YEAR((DATE($B$54,$A$54,1)-WEEKDAY(DATE($B$54,$A$54,1),2)+1)+4)=$B$54,MONTH((DATE($B$54,$A$54,1)-WEEKDAY(DATE($B$54,$A$54,1),2)+1)+4)=$A$54),((DATE($B$54,$A$54,1)-WEEKDAY(DATE($B$54,$A$54,1),2)+1)+4), "")</f>
        <v/>
      </c>
      <c r="AN49" s="197">
        <f>IF(AND(YEAR((DATE($B$54,$A$54,1)-WEEKDAY(DATE($B$54,$A$54,1),2)+1)+5)=$B$54,MONTH((DATE($B$54,$A$54,1)-WEEKDAY(DATE($B$54,$A$54,1),2)+1)+5)=$A$54),((DATE($B$54,$A$54,1)-WEEKDAY(DATE($B$54,$A$54,1),2)+1)+5), "")</f>
        <v>42917</v>
      </c>
      <c r="AO49" s="198">
        <f>IF(AND(YEAR((DATE($B$54,$A$54,1)-WEEKDAY(DATE($B$54,$A$54,1),2)+1)+6)=$B$54,MONTH((DATE($B$54,$A$54,1)-WEEKDAY(DATE($B$54,$A$54,1),2)+1)+6)=$A$54),((DATE($B$54,$A$54,1)-WEEKDAY(DATE($B$54,$A$54,1),2)+1)+6), "")</f>
        <v>42918</v>
      </c>
      <c r="AQ49" s="202" t="s">
        <v>173</v>
      </c>
      <c r="AR49" s="203">
        <f>Q38-Q30</f>
        <v>13</v>
      </c>
    </row>
    <row r="50" spans="1:44" x14ac:dyDescent="0.25">
      <c r="A50" s="161"/>
      <c r="B50" s="162"/>
      <c r="C50" s="159"/>
      <c r="D50" s="160"/>
      <c r="F50" s="230">
        <f>WEEKNUM(G50,21)</f>
        <v>14</v>
      </c>
      <c r="G50" s="196">
        <f>IF(AND(YEAR((DATE($B$51,$A$51,1)-WEEKDAY(DATE($B$51,$A$51,1),2)+1)+7)=$B$51,MONTH((DATE($B$51,$A$51,1)-WEEKDAY(DATE($B$51,$A$51,1),2)+1)+7)=$A$51),((DATE($B$51,$A$51,1)-WEEKDAY(DATE($B$51,$A$51,1),2)+1)+7), "")</f>
        <v>42828</v>
      </c>
      <c r="H50" s="196">
        <f>IF(AND(YEAR((DATE($B$51,$A$51,1)-WEEKDAY(DATE($B$51,$A$51,1),2)+1)+8)=$B$51,MONTH((DATE($B$51,$A$51,1)-WEEKDAY(DATE($B$51,$A$51,1),2)+1)+8)=$A$51),((DATE($B$51,$A$51,1)-WEEKDAY(DATE($B$51,$A$51,1),2)+1)+8), "")</f>
        <v>42829</v>
      </c>
      <c r="I50" s="196">
        <f>IF(AND(YEAR((DATE($B$51,$A$51,1)-WEEKDAY(DATE($B$51,$A$51,1),2)+1)+9)=$B$51,MONTH((DATE($B$51,$A$51,1)-WEEKDAY(DATE($B$51,$A$51,1),2)+1)+9)=$A$51),((DATE($B$51,$A$51,1)-WEEKDAY(DATE($B$51,$A$51,1),2)+1)+9), "")</f>
        <v>42830</v>
      </c>
      <c r="J50" s="196">
        <f>IF(AND(YEAR((DATE($B$51,$A$51,1)-WEEKDAY(DATE($B$51,$A$51,1),2)+1)+10)=$B$51,MONTH((DATE($B$51,$A$51,1)-WEEKDAY(DATE($B$51,$A$51,1),2)+1)+10)=$A$51),((DATE($B$51,$A$51,1)-WEEKDAY(DATE($B$51,$A$51,1),2)+1)+10), "")</f>
        <v>42831</v>
      </c>
      <c r="K50" s="196">
        <f>IF(AND(YEAR((DATE($B$51,$A$51,1)-WEEKDAY(DATE($B$51,$A$51,1),2)+1)+11)=$B$51,MONTH((DATE($B$51,$A$51,1)-WEEKDAY(DATE($B$51,$A$51,1),2)+1)+11)=$A$51),((DATE($B$51,$A$51,1)-WEEKDAY(DATE($B$51,$A$51,1),2)+1)+11), "")</f>
        <v>42832</v>
      </c>
      <c r="L50" s="197">
        <f>IF(AND(YEAR((DATE($B$51,$A$51,1)-WEEKDAY(DATE($B$51,$A$51,1),2)+1)+12)=$B$51,MONTH((DATE($B$51,$A$51,1)-WEEKDAY(DATE($B$51,$A$51,1),2)+1)+12)=$A$51),((DATE($B$51,$A$51,1)-WEEKDAY(DATE($B$51,$A$51,1),2)+1)+12), "")</f>
        <v>42833</v>
      </c>
      <c r="M50" s="198">
        <f>IF(AND(YEAR((DATE($B$51,$A$51,1)-WEEKDAY(DATE($B$51,$A$51,1),2)+1)+13)=$B$51,MONTH((DATE($B$51,$A$51,1)-WEEKDAY(DATE($B$51,$A$51,1),2)+1)+13)=$A$51),((DATE($B$51,$A$51,1)-WEEKDAY(DATE($B$51,$A$51,1),2)+1)+13), "")</f>
        <v>42834</v>
      </c>
      <c r="N50" s="155"/>
      <c r="O50" s="230">
        <f>WEEKNUM(P50,21)</f>
        <v>19</v>
      </c>
      <c r="P50" s="196">
        <f>IF(AND(YEAR((DATE($B$52,$A$52,1)-WEEKDAY(DATE($B$52,$A$52,1),2)+1)+7)=$B$52,MONTH((DATE($B$52,$A$52,1)-WEEKDAY(DATE($B$52,$A$52,1),2)+1)+7)=$A$52),((DATE($B$52,$A$52,1)-WEEKDAY(DATE($B$52,$A$52,1),2)+1)+7), "")</f>
        <v>42863</v>
      </c>
      <c r="Q50" s="196">
        <f>IF(AND(YEAR((DATE($B$52,$A$52,1)-WEEKDAY(DATE($B$52,$A$52,1),2)+1)+8)=$B$52,MONTH((DATE($B$52,$A$52,1)-WEEKDAY(DATE($B$52,$A$52,1),2)+1)+8)=$A$52),((DATE($B$52,$A$52,1)-WEEKDAY(DATE($B$52,$A$52,1),2)+1)+8), "")</f>
        <v>42864</v>
      </c>
      <c r="R50" s="196">
        <f>IF(AND(YEAR((DATE($B$52,$A$52,1)-WEEKDAY(DATE($B$52,$A$52,1),2)+1)+9)=$B$52,MONTH((DATE($B$52,$A$52,1)-WEEKDAY(DATE($B$52,$A$52,1),2)+1)+9)=$A$52),((DATE($B$52,$A$52,1)-WEEKDAY(DATE($B$52,$A$52,1),2)+1)+9), "")</f>
        <v>42865</v>
      </c>
      <c r="S50" s="196">
        <f>IF(AND(YEAR((DATE($B$52,$A$52,1)-WEEKDAY(DATE($B$52,$A$52,1),2)+1)+10)=$B$52,MONTH((DATE($B$52,$A$52,1)-WEEKDAY(DATE($B$52,$A$52,1),2)+1)+10)=$A$52),((DATE($B$52,$A$52,1)-WEEKDAY(DATE($B$52,$A$52,1),2)+1)+10), "")</f>
        <v>42866</v>
      </c>
      <c r="T50" s="196">
        <f>IF(AND(YEAR((DATE($B$52,$A$52,1)-WEEKDAY(DATE($B$52,$A$52,1),2)+1)+11)=$B$52,MONTH((DATE($B$52,$A$52,1)-WEEKDAY(DATE($B$52,$A$52,1),2)+1)+11)=$A$52),((DATE($B$52,$A$52,1)-WEEKDAY(DATE($B$52,$A$52,1),2)+1)+11), "")</f>
        <v>42867</v>
      </c>
      <c r="U50" s="221">
        <f>IF(AND(YEAR((DATE($B$52,$A$52,1)-WEEKDAY(DATE($B$52,$A$52,1),2)+1)+12)=$B$52,MONTH((DATE($B$52,$A$52,1)-WEEKDAY(DATE($B$52,$A$52,1),2)+1)+12)=$A$52),((DATE($B$52,$A$52,1)-WEEKDAY(DATE($B$52,$A$52,1),2)+1)+12), "")</f>
        <v>42868</v>
      </c>
      <c r="V50" s="221"/>
      <c r="W50" s="198">
        <f>IF(AND(YEAR((DATE($B$52,$A$52,1)-WEEKDAY(DATE($B$52,$A$52,1),2)+1)+13)=$B$52,MONTH((DATE($B$52,$A$52,1)-WEEKDAY(DATE($B$52,$A$52,1),2)+1)+13)=$A$52),((DATE($B$52,$A$52,1)-WEEKDAY(DATE($B$52,$A$52,1),2)+1)+13), "")</f>
        <v>42869</v>
      </c>
      <c r="X50" s="155"/>
      <c r="Y50" s="230">
        <f>WEEKNUM(Z50,21)</f>
        <v>23</v>
      </c>
      <c r="Z50" s="196">
        <f>IF(AND(YEAR((DATE($B$53,$A$53,1)-WEEKDAY(DATE($B$53,$A$53,1),2)+1)+7)=$B$53,MONTH((DATE($B$53,$A$53,1)-WEEKDAY(DATE($B$53,$A$53,1),2)+1)+7)=$A$53),((DATE($B$53,$A$53,1)-WEEKDAY(DATE($B$53,$A$53,1),2)+1)+7), "")</f>
        <v>42891</v>
      </c>
      <c r="AA50" s="196">
        <f>IF(AND(YEAR((DATE($B$53,$A$53,1)-WEEKDAY(DATE($B$53,$A$53,1),2)+1)+8)=$B$53,MONTH((DATE($B$53,$A$53,1)-WEEKDAY(DATE($B$53,$A$53,1),2)+1)+8)=$A$53),((DATE($B$53,$A$53,1)-WEEKDAY(DATE($B$53,$A$53,1),2)+1)+8), "")</f>
        <v>42892</v>
      </c>
      <c r="AB50" s="196">
        <f>IF(AND(YEAR((DATE($B$53,$A$53,1)-WEEKDAY(DATE($B$53,$A$53,1),2)+1)+9)=$B$53,MONTH((DATE($B$53,$A$53,1)-WEEKDAY(DATE($B$53,$A$53,1),2)+1)+9)=$A$53),((DATE($B$53,$A$53,1)-WEEKDAY(DATE($B$53,$A$53,1),2)+1)+9), "")</f>
        <v>42893</v>
      </c>
      <c r="AC50" s="196">
        <f>IF(AND(YEAR((DATE($B$53,$A$53,1)-WEEKDAY(DATE($B$53,$A$53,1),2)+1)+10)=$B$53,MONTH((DATE($B$53,$A$53,1)-WEEKDAY(DATE($B$53,$A$53,1),2)+1)+10)=$A$53),((DATE($B$53,$A$53,1)-WEEKDAY(DATE($B$53,$A$53,1),2)+1)+10), "")</f>
        <v>42894</v>
      </c>
      <c r="AD50" s="196">
        <f>IF(AND(YEAR((DATE($B$53,$A$53,1)-WEEKDAY(DATE($B$53,$A$53,1),2)+1)+11)=$B$53,MONTH((DATE($B$53,$A$53,1)-WEEKDAY(DATE($B$53,$A$53,1),2)+1)+11)=$A$53),((DATE($B$53,$A$53,1)-WEEKDAY(DATE($B$53,$A$53,1),2)+1)+11), "")</f>
        <v>42895</v>
      </c>
      <c r="AE50" s="197">
        <f>IF(AND(YEAR((DATE($B$53,$A$53,1)-WEEKDAY(DATE($B$53,$A$53,1),2)+1)+12)=$B$53,MONTH((DATE($B$53,$A$53,1)-WEEKDAY(DATE($B$53,$A$53,1),2)+1)+12)=$A$53),((DATE($B$53,$A$53,1)-WEEKDAY(DATE($B$53,$A$53,1),2)+1)+12), "")</f>
        <v>42896</v>
      </c>
      <c r="AF50" s="198">
        <f>IF(AND(YEAR((DATE($B$53,$A$53,1)-WEEKDAY(DATE($B$53,$A$53,1),2)+1)+13)=$B$53,MONTH((DATE($B$53,$A$53,1)-WEEKDAY(DATE($B$53,$A$53,1),2)+1)+13)=$A$53),((DATE($B$53,$A$53,1)-WEEKDAY(DATE($B$53,$A$53,1),2)+1)+13), "")</f>
        <v>42897</v>
      </c>
      <c r="AG50" s="155"/>
      <c r="AH50" s="230">
        <f>WEEKNUM(AI50,21)</f>
        <v>27</v>
      </c>
      <c r="AI50" s="196">
        <f>IF(AND(YEAR((DATE($B$54,$A$54,1)-WEEKDAY(DATE($B$54,$A$54,1),2)+1)+7)=$B$54,MONTH((DATE($B$54,$A$54,1)-WEEKDAY(DATE($B$54,$A$54,1),2)+1)+7)=$A$54),((DATE($B$54,$A$54,1)-WEEKDAY(DATE($B$54,$A$54,1),2)+1)+7), "")</f>
        <v>42919</v>
      </c>
      <c r="AJ50" s="196">
        <f>IF(AND(YEAR((DATE($B$54,$A$54,1)-WEEKDAY(DATE($B$54,$A$54,1),2)+1)+8)=$B$54,MONTH((DATE($B$54,$A$54,1)-WEEKDAY(DATE($B$54,$A$54,1),2)+1)+8)=$A$54),((DATE($B$54,$A$54,1)-WEEKDAY(DATE($B$54,$A$54,1),2)+1)+8), "")</f>
        <v>42920</v>
      </c>
      <c r="AK50" s="196">
        <f>IF(AND(YEAR((DATE($B$54,$A$54,1)-WEEKDAY(DATE($B$54,$A$54,1),2)+1)+9)=$B$54,MONTH((DATE($B$54,$A$54,1)-WEEKDAY(DATE($B$54,$A$54,1),2)+1)+9)=$A$54),((DATE($B$54,$A$54,1)-WEEKDAY(DATE($B$54,$A$54,1),2)+1)+9), "")</f>
        <v>42921</v>
      </c>
      <c r="AL50" s="196">
        <f>IF(AND(YEAR((DATE($B$54,$A$54,1)-WEEKDAY(DATE($B$54,$A$54,1),2)+1)+10)=$B$54,MONTH((DATE($B$54,$A$54,1)-WEEKDAY(DATE($B$54,$A$54,1),2)+1)+10)=$A$54),((DATE($B$54,$A$54,1)-WEEKDAY(DATE($B$54,$A$54,1),2)+1)+10), "")</f>
        <v>42922</v>
      </c>
      <c r="AM50" s="196">
        <f>IF(AND(YEAR((DATE($B$54,$A$54,1)-WEEKDAY(DATE($B$54,$A$54,1),2)+1)+11)=$B$54,MONTH((DATE($B$54,$A$54,1)-WEEKDAY(DATE($B$54,$A$54,1),2)+1)+11)=$A$54),((DATE($B$54,$A$54,1)-WEEKDAY(DATE($B$54,$A$54,1),2)+1)+11), "")</f>
        <v>42923</v>
      </c>
      <c r="AN50" s="197">
        <f>IF(AND(YEAR((DATE($B$54,$A$54,1)-WEEKDAY(DATE($B$54,$A$54,1),2)+1)+12)=$B$54,MONTH((DATE($B$54,$A$54,1)-WEEKDAY(DATE($B$54,$A$54,1),2)+1)+12)=$A$54),((DATE($B$54,$A$54,1)-WEEKDAY(DATE($B$54,$A$54,1),2)+1)+12), "")</f>
        <v>42924</v>
      </c>
      <c r="AO50" s="198">
        <f>IF(AND(YEAR((DATE($B$54,$A$54,1)-WEEKDAY(DATE($B$54,$A$54,1),2)+1)+13)=$B$54,MONTH((DATE($B$54,$A$54,1)-WEEKDAY(DATE($B$54,$A$54,1),2)+1)+13)=$A$54),((DATE($B$54,$A$54,1)-WEEKDAY(DATE($B$54,$A$54,1),2)+1)+13), "")</f>
        <v>42925</v>
      </c>
      <c r="AQ50" s="202" t="s">
        <v>176</v>
      </c>
      <c r="AR50" s="203">
        <f>Q41-Q38</f>
        <v>21</v>
      </c>
    </row>
    <row r="51" spans="1:44" x14ac:dyDescent="0.25">
      <c r="A51" s="161">
        <f>MONTH($Q$26)</f>
        <v>4</v>
      </c>
      <c r="B51" s="162">
        <f>YEAR($Q$26)</f>
        <v>2017</v>
      </c>
      <c r="C51" s="159"/>
      <c r="D51" s="160"/>
      <c r="F51" s="230">
        <f t="shared" ref="F51:F53" si="0">WEEKNUM(G51,21)</f>
        <v>15</v>
      </c>
      <c r="G51" s="196">
        <f>IF(AND(YEAR((DATE($B$51,$A$51,1)-WEEKDAY(DATE($B$51,$A$51,1),2)+1)+14)=$B$51,MONTH((DATE($B$51,$A$51,1)-WEEKDAY(DATE($B$51,$A$51,1),2)+1)+14)=$A$51),((DATE($B$51,$A$51,1)-WEEKDAY(DATE($B$51,$A$51,1),2)+1)+14), "")</f>
        <v>42835</v>
      </c>
      <c r="H51" s="196">
        <f>IF(AND(YEAR((DATE($B$51,$A$51,1)-WEEKDAY(DATE($B$51,$A$51,1),2)+1)+15)=$B$51,MONTH((DATE($B$51,$A$51,1)-WEEKDAY(DATE($B$51,$A$51,1),2)+1)+15)=$A$51),((DATE($B$51,$A$51,1)-WEEKDAY(DATE($B$51,$A$51,1),2)+1)+15), "")</f>
        <v>42836</v>
      </c>
      <c r="I51" s="196">
        <f>IF(AND(YEAR((DATE($B$51,$A$51,1)-WEEKDAY(DATE($B$51,$A$51,1),2)+1)+16)=$B$51,MONTH((DATE($B$51,$A$51,1)-WEEKDAY(DATE($B$51,$A$51,1),2)+1)+16)=$A$51),((DATE($B$51,$A$51,1)-WEEKDAY(DATE($B$51,$A$51,1),2)+1)+16), "")</f>
        <v>42837</v>
      </c>
      <c r="J51" s="196">
        <f>IF(AND(YEAR((DATE($B$51,$A$51,1)-WEEKDAY(DATE($B$51,$A$51,1),2)+1)+17)=$B$51,MONTH((DATE($B$51,$A$51,1)-WEEKDAY(DATE($B$51,$A$51,1),2)+1)+17)=$A$51),((DATE($B$51,$A$51,1)-WEEKDAY(DATE($B$51,$A$51,1),2)+1)+17), "")</f>
        <v>42838</v>
      </c>
      <c r="K51" s="196">
        <f>IF(AND(YEAR((DATE($B$51,$A$51,1)-WEEKDAY(DATE($B$51,$A$51,1),2)+1)+18)=$B$51,MONTH((DATE($B$51,$A$51,1)-WEEKDAY(DATE($B$51,$A$51,1),2)+1)+18)=$A$51),((DATE($B$51,$A$51,1)-WEEKDAY(DATE($B$51,$A$51,1),2)+1)+18), "")</f>
        <v>42839</v>
      </c>
      <c r="L51" s="197">
        <f>IF(AND(YEAR((DATE($B$51,$A$51,1)-WEEKDAY(DATE($B$51,$A$51,1),2)+1)+19)=$B$51,MONTH((DATE($B$51,$A$51,1)-WEEKDAY(DATE($B$51,$A$51,1),2)+1)+19)=$A$51),((DATE($B$51,$A$51,1)-WEEKDAY(DATE($B$51,$A$51,1),2)+1)+19), "")</f>
        <v>42840</v>
      </c>
      <c r="M51" s="198">
        <f>IF(AND(YEAR((DATE($B$51,$A$51,1)-WEEKDAY(DATE($B$51,$A$51,1),2)+1)+20)=$B$51,MONTH((DATE($B$51,$A$51,1)-WEEKDAY(DATE($B$51,$A$51,1),2)+1)+20)=$A$51),((DATE($B$51,$A$51,1)-WEEKDAY(DATE($B$51,$A$51,1),2)+1)+20), "")</f>
        <v>42841</v>
      </c>
      <c r="N51" s="155"/>
      <c r="O51" s="230">
        <f t="shared" ref="O51:O53" si="1">WEEKNUM(P51,21)</f>
        <v>20</v>
      </c>
      <c r="P51" s="196">
        <f>IF(AND(YEAR((DATE($B$52,$A$52,1)-WEEKDAY(DATE($B$52,$A$52,1),2)+1)+14)=$B$52,MONTH((DATE($B$52,$A$52,1)-WEEKDAY(DATE($B$52,$A$52,1),2)+1)+14)=$A$52),((DATE($B$52,$A$52,1)-WEEKDAY(DATE($B$52,$A$52,1),2)+1)+14), "")</f>
        <v>42870</v>
      </c>
      <c r="Q51" s="196">
        <f>IF(AND(YEAR((DATE($B$52,$A$52,1)-WEEKDAY(DATE($B$52,$A$52,1),2)+1)+15)=$B$52,MONTH((DATE($B$52,$A$52,1)-WEEKDAY(DATE($B$52,$A$52,1),2)+1)+15)=$A$52),((DATE($B$52,$A$52,1)-WEEKDAY(DATE($B$52,$A$52,1),2)+1)+15), "")</f>
        <v>42871</v>
      </c>
      <c r="R51" s="196">
        <f>IF(AND(YEAR((DATE($B$52,$A$52,1)-WEEKDAY(DATE($B$52,$A$52,1),2)+1)+16)=$B$52,MONTH((DATE($B$52,$A$52,1)-WEEKDAY(DATE($B$52,$A$52,1),2)+1)+16)=$A$52),((DATE($B$52,$A$52,1)-WEEKDAY(DATE($B$52,$A$52,1),2)+1)+16), "")</f>
        <v>42872</v>
      </c>
      <c r="S51" s="196">
        <f>IF(AND(YEAR((DATE($B$52,$A$52,1)-WEEKDAY(DATE($B$52,$A$52,1),2)+1)+17)=$B$52,MONTH((DATE($B$52,$A$52,1)-WEEKDAY(DATE($B$52,$A$52,1),2)+1)+17)=$A$52),((DATE($B$52,$A$52,1)-WEEKDAY(DATE($B$52,$A$52,1),2)+1)+17), "")</f>
        <v>42873</v>
      </c>
      <c r="T51" s="196">
        <f>IF(AND(YEAR((DATE($B$52,$A$52,1)-WEEKDAY(DATE($B$52,$A$52,1),2)+1)+18)=$B$52,MONTH((DATE($B$52,$A$52,1)-WEEKDAY(DATE($B$52,$A$52,1),2)+1)+18)=$A$52),((DATE($B$52,$A$52,1)-WEEKDAY(DATE($B$52,$A$52,1),2)+1)+18), "")</f>
        <v>42874</v>
      </c>
      <c r="U51" s="221">
        <f>IF(AND(YEAR((DATE($B$52,$A$52,1)-WEEKDAY(DATE($B$52,$A$52,1),2)+1)+19)=$B$52,MONTH((DATE($B$52,$A$52,1)-WEEKDAY(DATE($B$52,$A$52,1),2)+1)+19)=$A$52),((DATE($B$52,$A$52,1)-WEEKDAY(DATE($B$52,$A$52,1),2)+1)+19), "")</f>
        <v>42875</v>
      </c>
      <c r="V51" s="221"/>
      <c r="W51" s="198">
        <f>IF(AND(YEAR((DATE($B$52,$A$52,1)-WEEKDAY(DATE($B$52,$A$52,1),2)+1)+20)=$B$52,MONTH((DATE($B$52,$A$52,1)-WEEKDAY(DATE($B$52,$A$52,1),2)+1)+20)=$A$52),((DATE($B$52,$A$52,1)-WEEKDAY(DATE($B$52,$A$52,1),2)+1)+20), "")</f>
        <v>42876</v>
      </c>
      <c r="X51" s="155"/>
      <c r="Y51" s="230">
        <f t="shared" ref="Y51:Y53" si="2">WEEKNUM(Z51,21)</f>
        <v>24</v>
      </c>
      <c r="Z51" s="196">
        <f>IF(AND(YEAR((DATE($B$53,$A$53,1)-WEEKDAY(DATE($B$53,$A$53,1),2)+1)+14)=$B$53,MONTH((DATE($B$53,$A$53,1)-WEEKDAY(DATE($B$53,$A$53,1),2)+1)+14)=$A$53),((DATE($B$53,$A$53,1)-WEEKDAY(DATE($B$53,$A$53,1),2)+1)+14), "")</f>
        <v>42898</v>
      </c>
      <c r="AA51" s="196">
        <f>IF(AND(YEAR((DATE($B$53,$A$53,1)-WEEKDAY(DATE($B$53,$A$53,1),2)+1)+15)=$B$53,MONTH((DATE($B$53,$A$53,1)-WEEKDAY(DATE($B$53,$A$53,1),2)+1)+15)=$A$53),((DATE($B$53,$A$53,1)-WEEKDAY(DATE($B$53,$A$53,1),2)+1)+15), "")</f>
        <v>42899</v>
      </c>
      <c r="AB51" s="196">
        <f>IF(AND(YEAR((DATE($B$53,$A$53,1)-WEEKDAY(DATE($B$53,$A$53,1),2)+1)+16)=$B$53,MONTH((DATE($B$53,$A$53,1)-WEEKDAY(DATE($B$53,$A$53,1),2)+1)+16)=$A$53),((DATE($B$53,$A$53,1)-WEEKDAY(DATE($B$53,$A$53,1),2)+1)+16), "")</f>
        <v>42900</v>
      </c>
      <c r="AC51" s="196">
        <f>IF(AND(YEAR((DATE($B$53,$A$53,1)-WEEKDAY(DATE($B$53,$A$53,1),2)+1)+17)=$B$53,MONTH((DATE($B$53,$A$53,1)-WEEKDAY(DATE($B$53,$A$53,1),2)+1)+17)=$A$53),((DATE($B$53,$A$53,1)-WEEKDAY(DATE($B$53,$A$53,1),2)+1)+17), "")</f>
        <v>42901</v>
      </c>
      <c r="AD51" s="196">
        <f>IF(AND(YEAR((DATE($B$53,$A$53,1)-WEEKDAY(DATE($B$53,$A$53,1),2)+1)+18)=$B$53,MONTH((DATE($B$53,$A$53,1)-WEEKDAY(DATE($B$53,$A$53,1),2)+1)+18)=$A$53),((DATE($B$53,$A$53,1)-WEEKDAY(DATE($B$53,$A$53,1),2)+1)+18), "")</f>
        <v>42902</v>
      </c>
      <c r="AE51" s="197">
        <f>IF(AND(YEAR((DATE($B$53,$A$53,1)-WEEKDAY(DATE($B$53,$A$53,1),2)+1)+19)=$B$53,MONTH((DATE($B$53,$A$53,1)-WEEKDAY(DATE($B$53,$A$53,1),2)+1)+19)=$A$53),((DATE($B$53,$A$53,1)-WEEKDAY(DATE($B$53,$A$53,1),2)+1)+19), "")</f>
        <v>42903</v>
      </c>
      <c r="AF51" s="198">
        <f>IF(AND(YEAR((DATE($B$53,$A$53,1)-WEEKDAY(DATE($B$53,$A$53,1),2)+1)+20)=$B$53,MONTH((DATE($B$53,$A$53,1)-WEEKDAY(DATE($B$53,$A$53,1),2)+1)+20)=$A$53),((DATE($B$53,$A$53,1)-WEEKDAY(DATE($B$53,$A$53,1),2)+1)+20), "")</f>
        <v>42904</v>
      </c>
      <c r="AG51" s="155"/>
      <c r="AH51" s="230">
        <f t="shared" ref="AH51:AH53" si="3">WEEKNUM(AI51,21)</f>
        <v>28</v>
      </c>
      <c r="AI51" s="196">
        <f>IF(AND(YEAR((DATE($B$54,$A$54,1)-WEEKDAY(DATE($B$54,$A$54,1),2)+1)+14)=$B$54,MONTH((DATE($B$54,$A$54,1)-WEEKDAY(DATE($B$54,$A$54,1),2)+1)+14)=$A$54),((DATE($B$54,$A$54,1)-WEEKDAY(DATE($B$54,$A$54,1),2)+1)+14), "")</f>
        <v>42926</v>
      </c>
      <c r="AJ51" s="196">
        <f>IF(AND(YEAR((DATE($B$54,$A$54,1)-WEEKDAY(DATE($B$54,$A$54,1),2)+1)+15)=$B$54,MONTH((DATE($B$54,$A$54,1)-WEEKDAY(DATE($B$54,$A$54,1),2)+1)+15)=$A$54),((DATE($B$54,$A$54,1)-WEEKDAY(DATE($B$54,$A$54,1),2)+1)+15), "")</f>
        <v>42927</v>
      </c>
      <c r="AK51" s="196">
        <f>IF(AND(YEAR((DATE($B$54,$A$54,1)-WEEKDAY(DATE($B$54,$A$54,1),2)+1)+16)=$B$54,MONTH((DATE($B$54,$A$54,1)-WEEKDAY(DATE($B$54,$A$54,1),2)+1)+16)=$A$54),((DATE($B$54,$A$54,1)-WEEKDAY(DATE($B$54,$A$54,1),2)+1)+16), "")</f>
        <v>42928</v>
      </c>
      <c r="AL51" s="196">
        <f>IF(AND(YEAR((DATE($B$54,$A$54,1)-WEEKDAY(DATE($B$54,$A$54,1),2)+1)+17)=$B$54,MONTH((DATE($B$54,$A$54,1)-WEEKDAY(DATE($B$54,$A$54,1),2)+1)+17)=$A$54),((DATE($B$54,$A$54,1)-WEEKDAY(DATE($B$54,$A$54,1),2)+1)+17), "")</f>
        <v>42929</v>
      </c>
      <c r="AM51" s="196">
        <f>IF(AND(YEAR((DATE($B$54,$A$54,1)-WEEKDAY(DATE($B$54,$A$54,1),2)+1)+18)=$B$54,MONTH((DATE($B$54,$A$54,1)-WEEKDAY(DATE($B$54,$A$54,1),2)+1)+18)=$A$54),((DATE($B$54,$A$54,1)-WEEKDAY(DATE($B$54,$A$54,1),2)+1)+18), "")</f>
        <v>42930</v>
      </c>
      <c r="AN51" s="197">
        <f>IF(AND(YEAR((DATE($B$54,$A$54,1)-WEEKDAY(DATE($B$54,$A$54,1),2)+1)+19)=$B$54,MONTH((DATE($B$54,$A$54,1)-WEEKDAY(DATE($B$54,$A$54,1),2)+1)+19)=$A$54),((DATE($B$54,$A$54,1)-WEEKDAY(DATE($B$54,$A$54,1),2)+1)+19), "")</f>
        <v>42931</v>
      </c>
      <c r="AO51" s="198">
        <f>IF(AND(YEAR((DATE($B$54,$A$54,1)-WEEKDAY(DATE($B$54,$A$54,1),2)+1)+20)=$B$54,MONTH((DATE($B$54,$A$54,1)-WEEKDAY(DATE($B$54,$A$54,1),2)+1)+20)=$A$54),((DATE($B$54,$A$54,1)-WEEKDAY(DATE($B$54,$A$54,1),2)+1)+20), "")</f>
        <v>42932</v>
      </c>
      <c r="AQ51" s="204"/>
      <c r="AR51" s="203"/>
    </row>
    <row r="52" spans="1:44" x14ac:dyDescent="0.25">
      <c r="A52" s="161">
        <f t="shared" ref="A52:A59" si="4">IF(A51=12,1,A51+1)</f>
        <v>5</v>
      </c>
      <c r="B52" s="159">
        <f t="shared" ref="B52:B59" si="5">IF(A51=12,B51+1,B51)</f>
        <v>2017</v>
      </c>
      <c r="C52" s="159"/>
      <c r="D52" s="160"/>
      <c r="F52" s="230">
        <f t="shared" si="0"/>
        <v>16</v>
      </c>
      <c r="G52" s="196">
        <f>IF(AND(YEAR((DATE($B$51,$A$51,1)-WEEKDAY(DATE($B$51,$A$51,1),2)+1)+21)=$B$51,MONTH((DATE($B$51,$A$51,1)-WEEKDAY(DATE($B$51,$A$51,1),2)+1)+21)=$A$51),((DATE($B$51,$A$51,1)-WEEKDAY(DATE($B$51,$A$51,1),2)+1)+21), "")</f>
        <v>42842</v>
      </c>
      <c r="H52" s="196">
        <f>IF(AND(YEAR((DATE($B$51,$A$51,1)-WEEKDAY(DATE($B$51,$A$51,1),2)+1)+22)=$B$51,MONTH((DATE($B$51,$A$51,1)-WEEKDAY(DATE($B$51,$A$51,1),2)+1)+22)=$A$51),((DATE($B$51,$A$51,1)-WEEKDAY(DATE($B$51,$A$51,1),2)+1)+22), "")</f>
        <v>42843</v>
      </c>
      <c r="I52" s="196">
        <f>IF(AND(YEAR((DATE($B$51,$A$51,1)-WEEKDAY(DATE($B$51,$A$51,1),2)+1)+23)=$B$51,MONTH((DATE($B$51,$A$51,1)-WEEKDAY(DATE($B$51,$A$51,1),2)+1)+23)=$A$51),((DATE($B$51,$A$51,1)-WEEKDAY(DATE($B$51,$A$51,1),2)+1)+23), "")</f>
        <v>42844</v>
      </c>
      <c r="J52" s="196">
        <f>IF(AND(YEAR((DATE($B$51,$A$51,1)-WEEKDAY(DATE($B$51,$A$51,1),2)+1)+24)=$B$51,MONTH((DATE($B$51,$A$51,1)-WEEKDAY(DATE($B$51,$A$51,1),2)+1)+24)=$A$51),((DATE($B$51,$A$51,1)-WEEKDAY(DATE($B$51,$A$51,1),2)+1)+24), "")</f>
        <v>42845</v>
      </c>
      <c r="K52" s="196">
        <f>IF(AND(YEAR((DATE($B$51,$A$51,1)-WEEKDAY(DATE($B$51,$A$51,1),2)+1)+25)=$B$51,MONTH((DATE($B$51,$A$51,1)-WEEKDAY(DATE($B$51,$A$51,1),2)+1)+25)=$A$51),((DATE($B$51,$A$51,1)-WEEKDAY(DATE($B$51,$A$51,1),2)+1)+25), "")</f>
        <v>42846</v>
      </c>
      <c r="L52" s="197">
        <f>IF(AND(YEAR((DATE($B$51,$A$51,1)-WEEKDAY(DATE($B$51,$A$51,1),2)+1)+26)=$B$51,MONTH((DATE($B$51,$A$51,1)-WEEKDAY(DATE($B$51,$A$51,1),2)+1)+26)=$A$51),((DATE($B$51,$A$51,1)-WEEKDAY(DATE($B$51,$A$51,1),2)+1)+26), "")</f>
        <v>42847</v>
      </c>
      <c r="M52" s="198">
        <f>IF(AND(YEAR((DATE($B$51,$A$51,1)-WEEKDAY(DATE($B$51,$A$51,1),2)+1)+27)=$B$51,MONTH((DATE($B$51,$A$51,1)-WEEKDAY(DATE($B$51,$A$51,1),2)+1)+27)=$A$51),((DATE($B$51,$A$51,1)-WEEKDAY(DATE($B$51,$A$51,1),2)+1)+27), "")</f>
        <v>42848</v>
      </c>
      <c r="N52" s="155"/>
      <c r="O52" s="230">
        <f t="shared" si="1"/>
        <v>21</v>
      </c>
      <c r="P52" s="196">
        <f>IF(AND(YEAR((DATE($B$52,$A$52,1)-WEEKDAY(DATE($B$52,$A$52,1),2)+1)+21)=$B$52,MONTH((DATE($B$52,$A$52,1)-WEEKDAY(DATE($B$52,$A$52,1),2)+1)+21)=$A$52),((DATE($B$52,$A$52,1)-WEEKDAY(DATE($B$52,$A$52,1),2)+1)+21), "")</f>
        <v>42877</v>
      </c>
      <c r="Q52" s="196">
        <f>IF(AND(YEAR((DATE($B$52,$A$52,1)-WEEKDAY(DATE($B$52,$A$52,1),2)+1)+22)=$B$52,MONTH((DATE($B$52,$A$52,1)-WEEKDAY(DATE($B$52,$A$52,1),2)+1)+22)=$A$52),((DATE($B$52,$A$52,1)-WEEKDAY(DATE($B$52,$A$52,1),2)+1)+22), "")</f>
        <v>42878</v>
      </c>
      <c r="R52" s="196">
        <f>IF(AND(YEAR((DATE($B$52,$A$52,1)-WEEKDAY(DATE($B$52,$A$52,1),2)+1)+23)=$B$52,MONTH((DATE($B$52,$A$52,1)-WEEKDAY(DATE($B$52,$A$52,1),2)+1)+23)=$A$52),((DATE($B$52,$A$52,1)-WEEKDAY(DATE($B$52,$A$52,1),2)+1)+23), "")</f>
        <v>42879</v>
      </c>
      <c r="S52" s="196">
        <f>IF(AND(YEAR((DATE($B$52,$A$52,1)-WEEKDAY(DATE($B$52,$A$52,1),2)+1)+24)=$B$52,MONTH((DATE($B$52,$A$52,1)-WEEKDAY(DATE($B$52,$A$52,1),2)+1)+24)=$A$52),((DATE($B$52,$A$52,1)-WEEKDAY(DATE($B$52,$A$52,1),2)+1)+24), "")</f>
        <v>42880</v>
      </c>
      <c r="T52" s="196">
        <f>IF(AND(YEAR((DATE($B$52,$A$52,1)-WEEKDAY(DATE($B$52,$A$52,1),2)+1)+25)=$B$52,MONTH((DATE($B$52,$A$52,1)-WEEKDAY(DATE($B$52,$A$52,1),2)+1)+25)=$A$52),((DATE($B$52,$A$52,1)-WEEKDAY(DATE($B$52,$A$52,1),2)+1)+25), "")</f>
        <v>42881</v>
      </c>
      <c r="U52" s="221">
        <f>IF(AND(YEAR((DATE($B$52,$A$52,1)-WEEKDAY(DATE($B$52,$A$52,1),2)+1)+26)=$B$52,MONTH((DATE($B$52,$A$52,1)-WEEKDAY(DATE($B$52,$A$52,1),2)+1)+26)=$A$52),((DATE($B$52,$A$52,1)-WEEKDAY(DATE($B$52,$A$52,1),2)+1)+26), "")</f>
        <v>42882</v>
      </c>
      <c r="V52" s="221"/>
      <c r="W52" s="198">
        <f>IF(AND(YEAR((DATE($B$52,$A$52,1)-WEEKDAY(DATE($B$52,$A$52,1),2)+1)+27)=$B$52,MONTH((DATE($B$52,$A$52,1)-WEEKDAY(DATE($B$52,$A$52,1),2)+1)+27)=$A$52),((DATE($B$52,$A$52,1)-WEEKDAY(DATE($B$52,$A$52,1),2)+1)+27), "")</f>
        <v>42883</v>
      </c>
      <c r="X52" s="155"/>
      <c r="Y52" s="230">
        <f t="shared" si="2"/>
        <v>25</v>
      </c>
      <c r="Z52" s="196">
        <f>IF(AND(YEAR((DATE($B$53,$A$53,1)-WEEKDAY(DATE($B$53,$A$53,1),2)+1)+21)=$B$53,MONTH((DATE($B$53,$A$53,1)-WEEKDAY(DATE($B$53,$A$53,1),2)+1)+21)=$A$53),((DATE($B$53,$A$53,1)-WEEKDAY(DATE($B$53,$A$53,1),2)+1)+21), "")</f>
        <v>42905</v>
      </c>
      <c r="AA52" s="196">
        <f>IF(AND(YEAR((DATE($B$53,$A$53,1)-WEEKDAY(DATE($B$53,$A$53,1),2)+1)+22)=$B$53,MONTH((DATE($B$53,$A$53,1)-WEEKDAY(DATE($B$53,$A$53,1),2)+1)+22)=$A$53),((DATE($B$53,$A$53,1)-WEEKDAY(DATE($B$53,$A$53,1),2)+1)+22), "")</f>
        <v>42906</v>
      </c>
      <c r="AB52" s="196">
        <f>IF(AND(YEAR((DATE($B$53,$A$53,1)-WEEKDAY(DATE($B$53,$A$53,1),2)+1)+23)=$B$53,MONTH((DATE($B$53,$A$53,1)-WEEKDAY(DATE($B$53,$A$53,1),2)+1)+23)=$A$53),((DATE($B$53,$A$53,1)-WEEKDAY(DATE($B$53,$A$53,1),2)+1)+23), "")</f>
        <v>42907</v>
      </c>
      <c r="AC52" s="196">
        <f>IF(AND(YEAR((DATE($B$53,$A$53,1)-WEEKDAY(DATE($B$53,$A$53,1),2)+1)+24)=$B$53,MONTH((DATE($B$53,$A$53,1)-WEEKDAY(DATE($B$53,$A$53,1),2)+1)+24)=$A$53),((DATE($B$53,$A$53,1)-WEEKDAY(DATE($B$53,$A$53,1),2)+1)+24), "")</f>
        <v>42908</v>
      </c>
      <c r="AD52" s="196">
        <f>IF(AND(YEAR((DATE($B$53,$A$53,1)-WEEKDAY(DATE($B$53,$A$53,1),2)+1)+25)=$B$53,MONTH((DATE($B$53,$A$53,1)-WEEKDAY(DATE($B$53,$A$53,1),2)+1)+25)=$A$53),((DATE($B$53,$A$53,1)-WEEKDAY(DATE($B$53,$A$53,1),2)+1)+25), "")</f>
        <v>42909</v>
      </c>
      <c r="AE52" s="197">
        <f>IF(AND(YEAR((DATE($B$53,$A$53,1)-WEEKDAY(DATE($B$53,$A$53,1),2)+1)+26)=$B$53,MONTH((DATE($B$53,$A$53,1)-WEEKDAY(DATE($B$53,$A$53,1),2)+1)+26)=$A$53),((DATE($B$53,$A$53,1)-WEEKDAY(DATE($B$53,$A$53,1),2)+1)+26), "")</f>
        <v>42910</v>
      </c>
      <c r="AF52" s="198">
        <f>IF(AND(YEAR((DATE($B$53,$A$53,1)-WEEKDAY(DATE($B$53,$A$53,1),2)+1)+27)=$B$53,MONTH((DATE($B$53,$A$53,1)-WEEKDAY(DATE($B$53,$A$53,1),2)+1)+27)=$A$53),((DATE($B$53,$A$53,1)-WEEKDAY(DATE($B$53,$A$53,1),2)+1)+27), "")</f>
        <v>42911</v>
      </c>
      <c r="AG52" s="155"/>
      <c r="AH52" s="230">
        <f t="shared" si="3"/>
        <v>29</v>
      </c>
      <c r="AI52" s="196">
        <f>IF(AND(YEAR((DATE($B$54,$A$54,1)-WEEKDAY(DATE($B$54,$A$54,1),2)+1)+21)=$B$54,MONTH((DATE($B$54,$A$54,1)-WEEKDAY(DATE($B$54,$A$54,1),2)+1)+21)=$A$54),((DATE($B$54,$A$54,1)-WEEKDAY(DATE($B$54,$A$54,1),2)+1)+21), "")</f>
        <v>42933</v>
      </c>
      <c r="AJ52" s="196">
        <f>IF(AND(YEAR((DATE($B$54,$A$54,1)-WEEKDAY(DATE($B$54,$A$54,1),2)+1)+22)=$B$54,MONTH((DATE($B$54,$A$54,1)-WEEKDAY(DATE($B$54,$A$54,1),2)+1)+22)=$A$54),((DATE($B$54,$A$54,1)-WEEKDAY(DATE($B$54,$A$54,1),2)+1)+22), "")</f>
        <v>42934</v>
      </c>
      <c r="AK52" s="196">
        <f>IF(AND(YEAR((DATE($B$54,$A$54,1)-WEEKDAY(DATE($B$54,$A$54,1),2)+1)+23)=$B$54,MONTH((DATE($B$54,$A$54,1)-WEEKDAY(DATE($B$54,$A$54,1),2)+1)+23)=$A$54),((DATE($B$54,$A$54,1)-WEEKDAY(DATE($B$54,$A$54,1),2)+1)+23), "")</f>
        <v>42935</v>
      </c>
      <c r="AL52" s="196">
        <f>IF(AND(YEAR((DATE($B$54,$A$54,1)-WEEKDAY(DATE($B$54,$A$54,1),2)+1)+24)=$B$54,MONTH((DATE($B$54,$A$54,1)-WEEKDAY(DATE($B$54,$A$54,1),2)+1)+24)=$A$54),((DATE($B$54,$A$54,1)-WEEKDAY(DATE($B$54,$A$54,1),2)+1)+24), "")</f>
        <v>42936</v>
      </c>
      <c r="AM52" s="196">
        <f>IF(AND(YEAR((DATE($B$54,$A$54,1)-WEEKDAY(DATE($B$54,$A$54,1),2)+1)+25)=$B$54,MONTH((DATE($B$54,$A$54,1)-WEEKDAY(DATE($B$54,$A$54,1),2)+1)+25)=$A$54),((DATE($B$54,$A$54,1)-WEEKDAY(DATE($B$54,$A$54,1),2)+1)+25), "")</f>
        <v>42937</v>
      </c>
      <c r="AN52" s="197">
        <f>IF(AND(YEAR((DATE($B$54,$A$54,1)-WEEKDAY(DATE($B$54,$A$54,1),2)+1)+26)=$B$54,MONTH((DATE($B$54,$A$54,1)-WEEKDAY(DATE($B$54,$A$54,1),2)+1)+26)=$A$54),((DATE($B$54,$A$54,1)-WEEKDAY(DATE($B$54,$A$54,1),2)+1)+26), "")</f>
        <v>42938</v>
      </c>
      <c r="AO52" s="198">
        <f>IF(AND(YEAR((DATE($B$54,$A$54,1)-WEEKDAY(DATE($B$54,$A$54,1),2)+1)+27)=$B$54,MONTH((DATE($B$54,$A$54,1)-WEEKDAY(DATE($B$54,$A$54,1),2)+1)+27)=$A$54),((DATE($B$54,$A$54,1)-WEEKDAY(DATE($B$54,$A$54,1),2)+1)+27), "")</f>
        <v>42939</v>
      </c>
      <c r="AQ52" s="202" t="s">
        <v>178</v>
      </c>
      <c r="AR52" s="203">
        <f>(AX41+1)-(AX26-1)</f>
        <v>53</v>
      </c>
    </row>
    <row r="53" spans="1:44" x14ac:dyDescent="0.25">
      <c r="A53" s="161">
        <f t="shared" si="4"/>
        <v>6</v>
      </c>
      <c r="B53" s="159">
        <f t="shared" si="5"/>
        <v>2017</v>
      </c>
      <c r="C53" s="159"/>
      <c r="D53" s="160"/>
      <c r="F53" s="230">
        <f t="shared" si="0"/>
        <v>17</v>
      </c>
      <c r="G53" s="196">
        <f>IF(AND(YEAR((DATE($B$51,$A$51,1)-WEEKDAY(DATE($B$51,$A$51,1),2)+1)+28)=$B$51,MONTH((DATE($B$51,$A$51,1)-WEEKDAY(DATE($B$51,$A$51,1),2)+1)+28)=$A$51),((DATE($B$51,$A$51,1)-WEEKDAY(DATE($B$51,$A$51,1),2)+1)+28), "")</f>
        <v>42849</v>
      </c>
      <c r="H53" s="196">
        <f>IF(AND(YEAR((DATE($B$51,$A$51,1)-WEEKDAY(DATE($B$51,$A$51,1),2)+1)+29)=$B$51,MONTH((DATE($B$51,$A$51,1)-WEEKDAY(DATE($B$51,$A$51,1),2)+1)+29)=$A$51),((DATE($B$51,$A$51,1)-WEEKDAY(DATE($B$51,$A$51,1),2)+1)+29), "")</f>
        <v>42850</v>
      </c>
      <c r="I53" s="196">
        <f>IF(AND(YEAR((DATE($B$51,$A$51,1)-WEEKDAY(DATE($B$51,$A$51,1),2)+1)+30)=$B$51,MONTH((DATE($B$51,$A$51,1)-WEEKDAY(DATE($B$51,$A$51,1),2)+1)+30)=$A$51),((DATE($B$51,$A$51,1)-WEEKDAY(DATE($B$51,$A$51,1),2)+1)+30), "")</f>
        <v>42851</v>
      </c>
      <c r="J53" s="196">
        <f>IF(AND(YEAR((DATE($B$51,$A$51,1)-WEEKDAY(DATE($B$51,$A$51,1),2)+1)+31)=$B$51,MONTH((DATE($B$51,$A$51,1)-WEEKDAY(DATE($B$51,$A$51,1),2)+1)+31)=$A$51),((DATE($B$51,$A$51,1)-WEEKDAY(DATE($B$51,$A$51,1),2)+1)+31), "")</f>
        <v>42852</v>
      </c>
      <c r="K53" s="196">
        <f>IF(AND(YEAR((DATE($B$51,$A$51,1)-WEEKDAY(DATE($B$51,$A$51,1),2)+1)+32)=$B$51,MONTH((DATE($B$51,$A$51,1)-WEEKDAY(DATE($B$51,$A$51,1),2)+1)+32)=$A$51),((DATE($B$51,$A$51,1)-WEEKDAY(DATE($B$51,$A$51,1),2)+1)+32), "")</f>
        <v>42853</v>
      </c>
      <c r="L53" s="197">
        <f>IF(AND(YEAR((DATE($B$51,$A$51,1)-WEEKDAY(DATE($B$51,$A$51,1),2)+1)+33)=$B$51,MONTH((DATE($B$51,$A$51,1)-WEEKDAY(DATE($B$51,$A$51,1),2)+1)+33)=$A$51),((DATE($B$51,$A$51,1)-WEEKDAY(DATE($B$51,$A$51,1),2)+1)+33), "")</f>
        <v>42854</v>
      </c>
      <c r="M53" s="198">
        <f>IF(AND(YEAR((DATE($B$51,$A$51,1)-WEEKDAY(DATE($B$51,$A$51,1),2)+1)+34)=$B$51,MONTH((DATE($B$51,$A$51,1)-WEEKDAY(DATE($B$51,$A$51,1),2)+1)+34)=$A$51),((DATE($B$51,$A$51,1)-WEEKDAY(DATE($B$51,$A$51,1),2)+1)+34), "")</f>
        <v>42855</v>
      </c>
      <c r="N53" s="155"/>
      <c r="O53" s="230">
        <f t="shared" si="1"/>
        <v>22</v>
      </c>
      <c r="P53" s="196">
        <f>IF(AND(YEAR((DATE($B$52,$A$52,1)-WEEKDAY(DATE($B$52,$A$52,1),2)+1)+28)=$B$52,MONTH((DATE($B$52,$A$52,1)-WEEKDAY(DATE($B$52,$A$52,1),2)+1)+28)=$A$52),((DATE($B$52,$A$52,1)-WEEKDAY(DATE($B$52,$A$52,1),2)+1)+28), "")</f>
        <v>42884</v>
      </c>
      <c r="Q53" s="196">
        <f>IF(AND(YEAR((DATE($B$52,$A$52,1)-WEEKDAY(DATE($B$52,$A$52,1),2)+1)+29)=$B$52,MONTH((DATE($B$52,$A$52,1)-WEEKDAY(DATE($B$52,$A$52,1),2)+1)+29)=$A$52),((DATE($B$52,$A$52,1)-WEEKDAY(DATE($B$52,$A$52,1),2)+1)+29), "")</f>
        <v>42885</v>
      </c>
      <c r="R53" s="196">
        <f>IF(AND(YEAR((DATE($B$52,$A$52,1)-WEEKDAY(DATE($B$52,$A$52,1),2)+1)+30)=$B$52,MONTH((DATE($B$52,$A$52,1)-WEEKDAY(DATE($B$52,$A$52,1),2)+1)+30)=$A$52),((DATE($B$52,$A$52,1)-WEEKDAY(DATE($B$52,$A$52,1),2)+1)+30), "")</f>
        <v>42886</v>
      </c>
      <c r="S53" s="196" t="str">
        <f>IF(AND(YEAR((DATE($B$52,$A$52,1)-WEEKDAY(DATE($B$52,$A$52,1),2)+1)+31)=$B$52,MONTH((DATE($B$52,$A$52,1)-WEEKDAY(DATE($B$52,$A$52,1),2)+1)+31)=$A$52),((DATE($B$52,$A$52,1)-WEEKDAY(DATE($B$52,$A$52,1),2)+1)+31), "")</f>
        <v/>
      </c>
      <c r="T53" s="196" t="str">
        <f>IF(AND(YEAR((DATE($B$52,$A$52,1)-WEEKDAY(DATE($B$52,$A$52,1),2)+1)+32)=$B$52,MONTH((DATE($B$52,$A$52,1)-WEEKDAY(DATE($B$52,$A$52,1),2)+1)+32)=$A$52),((DATE($B$52,$A$52,1)-WEEKDAY(DATE($B$52,$A$52,1),2)+1)+32), "")</f>
        <v/>
      </c>
      <c r="U53" s="221" t="str">
        <f>IF(AND(YEAR((DATE($B$52,$A$52,1)-WEEKDAY(DATE($B$52,$A$52,1),2)+1)+33)=$B$52,MONTH((DATE($B$52,$A$52,1)-WEEKDAY(DATE($B$52,$A$52,1),2)+1)+33)=$A$52),((DATE($B$52,$A$52,1)-WEEKDAY(DATE($B$52,$A$52,1),2)+1)+33), "")</f>
        <v/>
      </c>
      <c r="V53" s="221"/>
      <c r="W53" s="198" t="str">
        <f>IF(AND(YEAR((DATE($B$52,$A$52,1)-WEEKDAY(DATE($B$52,$A$52,1),2)+1)+34)=$B$52,MONTH((DATE($B$52,$A$52,1)-WEEKDAY(DATE($B$52,$A$52,1),2)+1)+34)=$A$52),((DATE($B$52,$A$52,1)-WEEKDAY(DATE($B$52,$A$52,1),2)+1)+34), "")</f>
        <v/>
      </c>
      <c r="X53" s="155"/>
      <c r="Y53" s="230">
        <f t="shared" si="2"/>
        <v>26</v>
      </c>
      <c r="Z53" s="196">
        <f>IF(AND(YEAR((DATE($B$53,$A$53,1)-WEEKDAY(DATE($B$53,$A$53,1),2)+1)+28)=$B$53,MONTH((DATE($B$53,$A$53,1)-WEEKDAY(DATE($B$53,$A$53,1),2)+1)+28)=$A$53),((DATE($B$53,$A$53,1)-WEEKDAY(DATE($B$53,$A$53,1),2)+1)+28), "")</f>
        <v>42912</v>
      </c>
      <c r="AA53" s="196">
        <f>IF(AND(YEAR((DATE($B$53,$A$53,1)-WEEKDAY(DATE($B$53,$A$53,1),2)+1)+29)=$B$53,MONTH((DATE($B$53,$A$53,1)-WEEKDAY(DATE($B$53,$A$53,1),2)+1)+29)=$A$53),((DATE($B$53,$A$53,1)-WEEKDAY(DATE($B$53,$A$53,1),2)+1)+29), "")</f>
        <v>42913</v>
      </c>
      <c r="AB53" s="196">
        <f>IF(AND(YEAR((DATE($B$53,$A$53,1)-WEEKDAY(DATE($B$53,$A$53,1),2)+1)+30)=$B$53,MONTH((DATE($B$53,$A$53,1)-WEEKDAY(DATE($B$53,$A$53,1),2)+1)+30)=$A$53),((DATE($B$53,$A$53,1)-WEEKDAY(DATE($B$53,$A$53,1),2)+1)+30), "")</f>
        <v>42914</v>
      </c>
      <c r="AC53" s="196">
        <f>IF(AND(YEAR((DATE($B$53,$A$53,1)-WEEKDAY(DATE($B$53,$A$53,1),2)+1)+31)=$B$53,MONTH((DATE($B$53,$A$53,1)-WEEKDAY(DATE($B$53,$A$53,1),2)+1)+31)=$A$53),((DATE($B$53,$A$53,1)-WEEKDAY(DATE($B$53,$A$53,1),2)+1)+31), "")</f>
        <v>42915</v>
      </c>
      <c r="AD53" s="196">
        <f>IF(AND(YEAR((DATE($B$53,$A$53,1)-WEEKDAY(DATE($B$53,$A$53,1),2)+1)+32)=$B$53,MONTH((DATE($B$53,$A$53,1)-WEEKDAY(DATE($B$53,$A$53,1),2)+1)+32)=$A$53),((DATE($B$53,$A$53,1)-WEEKDAY(DATE($B$53,$A$53,1),2)+1)+32), "")</f>
        <v>42916</v>
      </c>
      <c r="AE53" s="197" t="str">
        <f>IF(AND(YEAR((DATE($B$53,$A$53,1)-WEEKDAY(DATE($B$53,$A$53,1),2)+1)+33)=$B$53,MONTH((DATE($B$53,$A$53,1)-WEEKDAY(DATE($B$53,$A$53,1),2)+1)+33)=$A$53),((DATE($B$53,$A$53,1)-WEEKDAY(DATE($B$53,$A$53,1),2)+1)+33), "")</f>
        <v/>
      </c>
      <c r="AF53" s="198" t="str">
        <f>IF(AND(YEAR((DATE($B$53,$A$53,1)-WEEKDAY(DATE($B$53,$A$53,1),2)+1)+34)=$B$53,MONTH((DATE($B$53,$A$53,1)-WEEKDAY(DATE($B$53,$A$53,1),2)+1)+34)=$A$53),((DATE($B$53,$A$53,1)-WEEKDAY(DATE($B$53,$A$53,1),2)+1)+34), "")</f>
        <v/>
      </c>
      <c r="AG53" s="155"/>
      <c r="AH53" s="230">
        <f t="shared" si="3"/>
        <v>30</v>
      </c>
      <c r="AI53" s="196">
        <f>IF(AND(YEAR((DATE($B$54,$A$54,1)-WEEKDAY(DATE($B$54,$A$54,1),2)+1)+28)=$B$54,MONTH((DATE($B$54,$A$54,1)-WEEKDAY(DATE($B$54,$A$54,1),2)+1)+28)=$A$54),((DATE($B$54,$A$54,1)-WEEKDAY(DATE($B$54,$A$54,1),2)+1)+28), "")</f>
        <v>42940</v>
      </c>
      <c r="AJ53" s="196">
        <f>IF(AND(YEAR((DATE($B$54,$A$54,1)-WEEKDAY(DATE($B$54,$A$54,1),2)+1)+29)=$B$54,MONTH((DATE($B$54,$A$54,1)-WEEKDAY(DATE($B$54,$A$54,1),2)+1)+29)=$A$54),((DATE($B$54,$A$54,1)-WEEKDAY(DATE($B$54,$A$54,1),2)+1)+29), "")</f>
        <v>42941</v>
      </c>
      <c r="AK53" s="196">
        <f>IF(AND(YEAR((DATE($B$54,$A$54,1)-WEEKDAY(DATE($B$54,$A$54,1),2)+1)+30)=$B$54,MONTH((DATE($B$54,$A$54,1)-WEEKDAY(DATE($B$54,$A$54,1),2)+1)+30)=$A$54),((DATE($B$54,$A$54,1)-WEEKDAY(DATE($B$54,$A$54,1),2)+1)+30), "")</f>
        <v>42942</v>
      </c>
      <c r="AL53" s="196">
        <f>IF(AND(YEAR((DATE($B$54,$A$54,1)-WEEKDAY(DATE($B$54,$A$54,1),2)+1)+31)=$B$54,MONTH((DATE($B$54,$A$54,1)-WEEKDAY(DATE($B$54,$A$54,1),2)+1)+31)=$A$54),((DATE($B$54,$A$54,1)-WEEKDAY(DATE($B$54,$A$54,1),2)+1)+31), "")</f>
        <v>42943</v>
      </c>
      <c r="AM53" s="196">
        <f>IF(AND(YEAR((DATE($B$54,$A$54,1)-WEEKDAY(DATE($B$54,$A$54,1),2)+1)+32)=$B$54,MONTH((DATE($B$54,$A$54,1)-WEEKDAY(DATE($B$54,$A$54,1),2)+1)+32)=$A$54),((DATE($B$54,$A$54,1)-WEEKDAY(DATE($B$54,$A$54,1),2)+1)+32), "")</f>
        <v>42944</v>
      </c>
      <c r="AN53" s="197">
        <f>IF(AND(YEAR((DATE($B$54,$A$54,1)-WEEKDAY(DATE($B$54,$A$54,1),2)+1)+33)=$B$54,MONTH((DATE($B$54,$A$54,1)-WEEKDAY(DATE($B$54,$A$54,1),2)+1)+33)=$A$54),((DATE($B$54,$A$54,1)-WEEKDAY(DATE($B$54,$A$54,1),2)+1)+33), "")</f>
        <v>42945</v>
      </c>
      <c r="AO53" s="198">
        <f>IF(AND(YEAR((DATE($B$54,$A$54,1)-WEEKDAY(DATE($B$54,$A$54,1),2)+1)+34)=$B$54,MONTH((DATE($B$54,$A$54,1)-WEEKDAY(DATE($B$54,$A$54,1),2)+1)+34)=$A$54),((DATE($B$54,$A$54,1)-WEEKDAY(DATE($B$54,$A$54,1),2)+1)+34), "")</f>
        <v>42946</v>
      </c>
      <c r="AQ53" s="202"/>
      <c r="AR53" s="203"/>
    </row>
    <row r="54" spans="1:44" ht="15.75" thickBot="1" x14ac:dyDescent="0.3">
      <c r="A54" s="161">
        <f t="shared" si="4"/>
        <v>7</v>
      </c>
      <c r="B54" s="159">
        <f t="shared" si="5"/>
        <v>2017</v>
      </c>
      <c r="C54" s="159"/>
      <c r="D54" s="160"/>
      <c r="F54" s="230" t="str">
        <f>IF(G54="","",WEEKNUM(G54,21))</f>
        <v/>
      </c>
      <c r="G54" s="199" t="str">
        <f>IF(AND(YEAR((DATE($B$51,$A$51,1)-WEEKDAY(DATE($B$51,$A$51,1),2)+1)+35)=$B$51,MONTH((DATE($B$51,$A$51,1)-WEEKDAY(DATE($B$51,$A$51,1),2)+1)+35)=$A$51),((DATE($B$51,$A$51,1)-WEEKDAY(DATE($B$51,$A$51,1),2)+1)+35), "")</f>
        <v/>
      </c>
      <c r="H54" s="199" t="str">
        <f>IF(AND(YEAR((DATE($B$51,$A$51,1)-WEEKDAY(DATE($B$51,$A$51,1),2)+1)+36)=$B$51,MONTH((DATE($B$51,$A$51,1)-WEEKDAY(DATE($B$51,$A$51,1),2)+1)+36)=$A$51),((DATE($B$51,$A$51,1)-WEEKDAY(DATE($B$51,$A$51,1),2)+1)+36), "")</f>
        <v/>
      </c>
      <c r="I54" s="199" t="str">
        <f>IF(AND(YEAR((DATE($B$51,$A$51,1)-WEEKDAY(DATE($B$51,$A$51,1),2)+1)+37)=$B$51,MONTH((DATE($B$51,$A$51,1)-WEEKDAY(DATE($B$51,$A$51,1),2)+1)+37)=$A$51),((DATE($B$51,$A$51,1)-WEEKDAY(DATE($B$51,$A$51,1),2)+1)+37), "")</f>
        <v/>
      </c>
      <c r="J54" s="199" t="str">
        <f>IF(AND(YEAR((DATE($B$51,$A$51,1)-WEEKDAY(DATE($B$51,$A$51,1),2)+1)+38)=$B$51,MONTH((DATE($B$51,$A$51,1)-WEEKDAY(DATE($B$51,$A$51,1),2)+1)+38)=$A$51),((DATE($B$51,$A$51,1)-WEEKDAY(DATE($B$51,$A$51,1),2)+1)+38), "")</f>
        <v/>
      </c>
      <c r="K54" s="199" t="str">
        <f>IF(AND(YEAR((DATE($B$51,$A$51,1)-WEEKDAY(DATE($B$51,$A$51,1),2)+1)+39)=$B$51,MONTH((DATE($B$51,$A$51,1)-WEEKDAY(DATE($B$51,$A$51,1),2)+1)+39)=$A$51),((DATE($B$51,$A$51,1)-WEEKDAY(DATE($B$51,$A$51,1),2)+1)+39), "")</f>
        <v/>
      </c>
      <c r="L54" s="200" t="str">
        <f>IF(AND(YEAR((DATE($B$51,$A$51,1)-WEEKDAY(DATE($B$51,$A$51,1),2)+1)+40)=$B$51,MONTH((DATE($B$51,$A$51,1)-WEEKDAY(DATE($B$51,$A$51,1),2)+1)+40)=$A$51),((DATE($B$51,$A$51,1)-WEEKDAY(DATE($B$51,$A$51,1),2)+1)+40), "")</f>
        <v/>
      </c>
      <c r="M54" s="201" t="str">
        <f>IF(AND(YEAR((DATE($B$51,$A$51,1)-WEEKDAY(DATE($B$51,$A$51,1),2)+1)+41)=$B$51,MONTH((DATE($B$51,$A$51,1)-WEEKDAY(DATE($B$51,$A$51,1),2)+1)+41)=$A$51),((DATE($B$51,$A$51,1)-WEEKDAY(DATE($B$51,$A$51,1),2)+1)+41), "")</f>
        <v/>
      </c>
      <c r="N54" s="155"/>
      <c r="O54" s="230" t="str">
        <f>IF(P54="","",WEEKNUM(P54,21))</f>
        <v/>
      </c>
      <c r="P54" s="199" t="str">
        <f>IF(AND(YEAR((DATE($B$52,$A$52,1)-WEEKDAY(DATE($B$52,$A$52,1),2)+1)+35)=$B$52,MONTH((DATE($B$52,$A$52,1)-WEEKDAY(DATE($B$52,$A$52,1),2)+1)+35)=$A$52),((DATE($B$52,$A$52,1)-WEEKDAY(DATE($B$52,$A$52,1),2)+1)+35), "")</f>
        <v/>
      </c>
      <c r="Q54" s="199" t="str">
        <f>IF(AND(YEAR((DATE($B$52,$A$52,1)-WEEKDAY(DATE($B$52,$A$52,1),2)+1)+36)=$B$52,MONTH((DATE($B$52,$A$52,1)-WEEKDAY(DATE($B$52,$A$52,1),2)+1)+36)=$A$52),((DATE($B$52,$A$52,1)-WEEKDAY(DATE($B$52,$A$52,1),2)+1)+36), "")</f>
        <v/>
      </c>
      <c r="R54" s="199" t="str">
        <f>IF(AND(YEAR((DATE($B$52,$A$52,1)-WEEKDAY(DATE($B$52,$A$52,1),2)+1)+37)=$B$52,MONTH((DATE($B$52,$A$52,1)-WEEKDAY(DATE($B$52,$A$52,1),2)+1)+37)=$A$52),((DATE($B$52,$A$52,1)-WEEKDAY(DATE($B$52,$A$52,1),2)+1)+37), "")</f>
        <v/>
      </c>
      <c r="S54" s="199" t="str">
        <f>IF(AND(YEAR((DATE($B$52,$A$52,1)-WEEKDAY(DATE($B$52,$A$52,1),2)+1)+38)=$B$52,MONTH((DATE($B$52,$A$52,1)-WEEKDAY(DATE($B$52,$A$52,1),2)+1)+38)=$A$52),((DATE($B$52,$A$52,1)-WEEKDAY(DATE($B$52,$A$52,1),2)+1)+38), "")</f>
        <v/>
      </c>
      <c r="T54" s="199" t="str">
        <f>IF(AND(YEAR((DATE($B$52,$A$52,1)-WEEKDAY(DATE($B$52,$A$52,1),2)+1)+39)=$B$52,MONTH((DATE($B$52,$A$52,1)-WEEKDAY(DATE($B$52,$A$52,1),2)+1)+39)=$A$52),((DATE($B$52,$A$52,1)-WEEKDAY(DATE($B$52,$A$52,1),2)+1)+39), "")</f>
        <v/>
      </c>
      <c r="U54" s="223" t="str">
        <f>IF(AND(YEAR((DATE($B$52,$A$52,1)-WEEKDAY(DATE($B$52,$A$52,1),2)+1)+40)=$B$52,MONTH((DATE($B$52,$A$52,1)-WEEKDAY(DATE($B$52,$A$52,1),2)+1)+40)=$A$52),((DATE($B$52,$A$52,1)-WEEKDAY(DATE($B$52,$A$52,1),2)+1)+40), "")</f>
        <v/>
      </c>
      <c r="V54" s="223"/>
      <c r="W54" s="201" t="str">
        <f>IF(AND(YEAR((DATE($B$52,$A$52,1)-WEEKDAY(DATE($B$52,$A$52,1),2)+1)+41)=$B$52,MONTH((DATE($B$52,$A$52,1)-WEEKDAY(DATE($B$52,$A$52,1),2)+1)+41)=$A$52),((DATE($B$52,$A$52,1)-WEEKDAY(DATE($B$52,$A$52,1),2)+1)+41), "")</f>
        <v/>
      </c>
      <c r="X54" s="155"/>
      <c r="Y54" s="230" t="str">
        <f>IF(Z54="","",WEEKNUM(Z54,21))</f>
        <v/>
      </c>
      <c r="Z54" s="199" t="str">
        <f>IF(AND(YEAR((DATE($B$53,$A$53,1)-WEEKDAY(DATE($B$53,$A$53,1),2)+1)+35)=$B$53,MONTH((DATE($B$53,$A$53,1)-WEEKDAY(DATE($B$53,$A$53,1),2)+1)+35)=$A$53),((DATE($B$53,$A$53,1)-WEEKDAY(DATE($B$53,$A$53,1),2)+1)+35), "")</f>
        <v/>
      </c>
      <c r="AA54" s="199" t="str">
        <f>IF(AND(YEAR((DATE($B$53,$A$53,1)-WEEKDAY(DATE($B$53,$A$53,1),2)+1)+36)=$B$53,MONTH((DATE($B$53,$A$53,1)-WEEKDAY(DATE($B$53,$A$53,1),2)+1)+36)=$A$53),((DATE($B$53,$A$53,1)-WEEKDAY(DATE($B$53,$A$53,1),2)+1)+36), "")</f>
        <v/>
      </c>
      <c r="AB54" s="199" t="str">
        <f>IF(AND(YEAR((DATE($B$53,$A$53,1)-WEEKDAY(DATE($B$53,$A$53,1),2)+1)+37)=$B$53,MONTH((DATE($B$53,$A$53,1)-WEEKDAY(DATE($B$53,$A$53,1),2)+1)+37)=$A$53),((DATE($B$53,$A$53,1)-WEEKDAY(DATE($B$53,$A$53,1),2)+1)+37), "")</f>
        <v/>
      </c>
      <c r="AC54" s="199" t="str">
        <f>IF(AND(YEAR((DATE($B$53,$A$53,1)-WEEKDAY(DATE($B$53,$A$53,1),2)+1)+38)=$B$53,MONTH((DATE($B$53,$A$53,1)-WEEKDAY(DATE($B$53,$A$53,1),2)+1)+38)=$A$53),((DATE($B$53,$A$53,1)-WEEKDAY(DATE($B$53,$A$53,1),2)+1)+38), "")</f>
        <v/>
      </c>
      <c r="AD54" s="199" t="str">
        <f>IF(AND(YEAR((DATE($B$53,$A$53,1)-WEEKDAY(DATE($B$53,$A$53,1),2)+1)+39)=$B$53,MONTH((DATE($B$53,$A$53,1)-WEEKDAY(DATE($B$53,$A$53,1),2)+1)+39)=$A$53),((DATE($B$53,$A$53,1)-WEEKDAY(DATE($B$53,$A$53,1),2)+1)+39), "")</f>
        <v/>
      </c>
      <c r="AE54" s="200" t="str">
        <f>IF(AND(YEAR((DATE($B$53,$A$53,1)-WEEKDAY(DATE($B$53,$A$53,1),2)+1)+40)=$B$53,MONTH((DATE($B$53,$A$53,1)-WEEKDAY(DATE($B$53,$A$53,1),2)+1)+40)=$A$53),((DATE($B$53,$A$53,1)-WEEKDAY(DATE($B$53,$A$53,1),2)+1)+40), "")</f>
        <v/>
      </c>
      <c r="AF54" s="201" t="str">
        <f>IF(AND(YEAR((DATE($B$53,$A$53,1)-WEEKDAY(DATE($B$53,$A$53,1),2)+1)+41)=$B$53,MONTH((DATE($B$53,$A$53,1)-WEEKDAY(DATE($B$53,$A$53,1),2)+1)+41)=$A$53),((DATE($B$53,$A$53,1)-WEEKDAY(DATE($B$53,$A$53,1),2)+1)+41), "")</f>
        <v/>
      </c>
      <c r="AG54" s="155"/>
      <c r="AH54" s="230">
        <f>IF(AI54="","",WEEKNUM(AI54,21))</f>
        <v>31</v>
      </c>
      <c r="AI54" s="199">
        <f>IF(AND(YEAR((DATE($B$54,$A$54,1)-WEEKDAY(DATE($B$54,$A$54,1),2)+1)+35)=$B$54,MONTH((DATE($B$54,$A$54,1)-WEEKDAY(DATE($B$54,$A$54,1),2)+1)+35)=$A$54),((DATE($B$54,$A$54,1)-WEEKDAY(DATE($B$54,$A$54,1),2)+1)+35), "")</f>
        <v>42947</v>
      </c>
      <c r="AJ54" s="199" t="str">
        <f>IF(AND(YEAR((DATE($B$54,$A$54,1)-WEEKDAY(DATE($B$54,$A$54,1),2)+1)+36)=$B$54,MONTH((DATE($B$54,$A$54,1)-WEEKDAY(DATE($B$54,$A$54,1),2)+1)+36)=$A$54),((DATE($B$54,$A$54,1)-WEEKDAY(DATE($B$54,$A$54,1),2)+1)+36), "")</f>
        <v/>
      </c>
      <c r="AK54" s="199" t="str">
        <f>IF(AND(YEAR((DATE($B$54,$A$54,1)-WEEKDAY(DATE($B$54,$A$54,1),2)+1)+37)=$B$54,MONTH((DATE($B$54,$A$54,1)-WEEKDAY(DATE($B$54,$A$54,1),2)+1)+37)=$A$54),((DATE($B$54,$A$54,1)-WEEKDAY(DATE($B$54,$A$54,1),2)+1)+37), "")</f>
        <v/>
      </c>
      <c r="AL54" s="199" t="str">
        <f>IF(AND(YEAR((DATE($B$54,$A$54,1)-WEEKDAY(DATE($B$54,$A$54,1),2)+1)+38)=$B$54,MONTH((DATE($B$54,$A$54,1)-WEEKDAY(DATE($B$54,$A$54,1),2)+1)+38)=$A$54),((DATE($B$54,$A$54,1)-WEEKDAY(DATE($B$54,$A$54,1),2)+1)+38), "")</f>
        <v/>
      </c>
      <c r="AM54" s="199" t="str">
        <f>IF(AND(YEAR((DATE($B$54,$A$54,1)-WEEKDAY(DATE($B$54,$A$54,1),2)+1)+39)=$B$54,MONTH((DATE($B$54,$A$54,1)-WEEKDAY(DATE($B$54,$A$54,1),2)+1)+39)=$A$54),((DATE($B$54,$A$54,1)-WEEKDAY(DATE($B$54,$A$54,1),2)+1)+39), "")</f>
        <v/>
      </c>
      <c r="AN54" s="200" t="str">
        <f>IF(AND(YEAR((DATE($B$54,$A$54,1)-WEEKDAY(DATE($B$54,$A$54,1),2)+1)+40)=$B$54,MONTH((DATE($B$54,$A$54,1)-WEEKDAY(DATE($B$54,$A$54,1),2)+1)+40)=$A$54),((DATE($B$54,$A$54,1)-WEEKDAY(DATE($B$54,$A$54,1),2)+1)+40), "")</f>
        <v/>
      </c>
      <c r="AO54" s="201" t="str">
        <f>IF(AND(YEAR((DATE($B$54,$A$54,1)-WEEKDAY(DATE($B$54,$A$54,1),2)+1)+41)=$B$54,MONTH((DATE($B$54,$A$54,1)-WEEKDAY(DATE($B$54,$A$54,1),2)+1)+41)=$A$54),((DATE($B$54,$A$54,1)-WEEKDAY(DATE($B$54,$A$54,1),2)+1)+41), "")</f>
        <v/>
      </c>
      <c r="AQ54" s="202"/>
      <c r="AR54" s="203"/>
    </row>
    <row r="55" spans="1:44" ht="7.5" customHeight="1" thickBot="1" x14ac:dyDescent="0.3">
      <c r="A55" s="161">
        <f t="shared" si="4"/>
        <v>8</v>
      </c>
      <c r="B55" s="159">
        <f t="shared" si="5"/>
        <v>2017</v>
      </c>
      <c r="C55" s="159"/>
      <c r="D55" s="160"/>
      <c r="G55" s="155"/>
      <c r="H55" s="155"/>
      <c r="I55" s="155"/>
      <c r="J55" s="155"/>
      <c r="K55" s="155"/>
      <c r="L55" s="155"/>
      <c r="M55" s="155"/>
      <c r="N55" s="155"/>
      <c r="P55" s="155"/>
      <c r="Q55" s="155"/>
      <c r="R55" s="155"/>
      <c r="S55" s="155"/>
      <c r="T55" s="155"/>
      <c r="U55" s="155"/>
      <c r="V55" s="155"/>
      <c r="W55" s="155"/>
      <c r="X55" s="155"/>
      <c r="Z55" s="155"/>
      <c r="AA55" s="155"/>
      <c r="AB55" s="155"/>
      <c r="AC55" s="155"/>
      <c r="AD55" s="155"/>
      <c r="AE55" s="155"/>
      <c r="AF55" s="155"/>
      <c r="AG55" s="155"/>
      <c r="AI55" s="155"/>
      <c r="AJ55" s="155"/>
      <c r="AK55" s="155"/>
      <c r="AL55" s="155"/>
      <c r="AM55" s="155"/>
      <c r="AN55" s="155"/>
      <c r="AO55" s="155"/>
      <c r="AQ55" s="204"/>
      <c r="AR55" s="203"/>
    </row>
    <row r="56" spans="1:44" ht="15.75" thickBot="1" x14ac:dyDescent="0.3">
      <c r="A56" s="161">
        <f t="shared" si="4"/>
        <v>9</v>
      </c>
      <c r="B56" s="159">
        <f t="shared" si="5"/>
        <v>2017</v>
      </c>
      <c r="C56" s="159"/>
      <c r="D56" s="160"/>
      <c r="F56" s="211"/>
      <c r="G56" s="212">
        <f>$AI$47+31</f>
        <v>42951</v>
      </c>
      <c r="H56" s="213"/>
      <c r="I56" s="213"/>
      <c r="J56" s="213"/>
      <c r="K56" s="213"/>
      <c r="L56" s="213"/>
      <c r="M56" s="214"/>
      <c r="N56" s="155"/>
      <c r="O56" s="211"/>
      <c r="P56" s="212">
        <f>$G$56+31</f>
        <v>42982</v>
      </c>
      <c r="Q56" s="213"/>
      <c r="R56" s="213"/>
      <c r="S56" s="213"/>
      <c r="T56" s="213"/>
      <c r="U56" s="213"/>
      <c r="V56" s="213"/>
      <c r="W56" s="214"/>
      <c r="X56" s="155"/>
      <c r="Y56" s="211"/>
      <c r="Z56" s="212">
        <f>$P$56+31</f>
        <v>43013</v>
      </c>
      <c r="AA56" s="213"/>
      <c r="AB56" s="213"/>
      <c r="AC56" s="213"/>
      <c r="AD56" s="213"/>
      <c r="AE56" s="213"/>
      <c r="AF56" s="214"/>
      <c r="AG56" s="155"/>
      <c r="AH56" s="211"/>
      <c r="AI56" s="212">
        <f>$Z$56+31</f>
        <v>43044</v>
      </c>
      <c r="AJ56" s="213"/>
      <c r="AK56" s="213"/>
      <c r="AL56" s="213"/>
      <c r="AM56" s="213"/>
      <c r="AN56" s="213"/>
      <c r="AO56" s="214"/>
      <c r="AQ56" s="202"/>
      <c r="AR56" s="203"/>
    </row>
    <row r="57" spans="1:44" ht="15.75" thickBot="1" x14ac:dyDescent="0.3">
      <c r="A57" s="161">
        <f t="shared" si="4"/>
        <v>10</v>
      </c>
      <c r="B57" s="159">
        <f t="shared" si="5"/>
        <v>2017</v>
      </c>
      <c r="C57" s="159"/>
      <c r="D57" s="160"/>
      <c r="F57" s="219" t="s">
        <v>165</v>
      </c>
      <c r="G57" s="207" t="s">
        <v>155</v>
      </c>
      <c r="H57" s="208" t="s">
        <v>156</v>
      </c>
      <c r="I57" s="208" t="s">
        <v>157</v>
      </c>
      <c r="J57" s="208" t="s">
        <v>158</v>
      </c>
      <c r="K57" s="208" t="s">
        <v>159</v>
      </c>
      <c r="L57" s="209" t="s">
        <v>160</v>
      </c>
      <c r="M57" s="210" t="s">
        <v>161</v>
      </c>
      <c r="N57" s="155"/>
      <c r="O57" s="219" t="s">
        <v>165</v>
      </c>
      <c r="P57" s="207" t="s">
        <v>155</v>
      </c>
      <c r="Q57" s="208" t="s">
        <v>156</v>
      </c>
      <c r="R57" s="208" t="s">
        <v>157</v>
      </c>
      <c r="S57" s="208" t="s">
        <v>158</v>
      </c>
      <c r="T57" s="208" t="s">
        <v>159</v>
      </c>
      <c r="U57" s="209" t="s">
        <v>160</v>
      </c>
      <c r="V57" s="209"/>
      <c r="W57" s="210" t="s">
        <v>161</v>
      </c>
      <c r="X57" s="155"/>
      <c r="Y57" s="219" t="s">
        <v>165</v>
      </c>
      <c r="Z57" s="207" t="s">
        <v>155</v>
      </c>
      <c r="AA57" s="208" t="s">
        <v>156</v>
      </c>
      <c r="AB57" s="208" t="s">
        <v>157</v>
      </c>
      <c r="AC57" s="208" t="s">
        <v>158</v>
      </c>
      <c r="AD57" s="208" t="s">
        <v>159</v>
      </c>
      <c r="AE57" s="209" t="s">
        <v>160</v>
      </c>
      <c r="AF57" s="210" t="s">
        <v>161</v>
      </c>
      <c r="AG57" s="155"/>
      <c r="AH57" s="219" t="s">
        <v>165</v>
      </c>
      <c r="AI57" s="207" t="s">
        <v>155</v>
      </c>
      <c r="AJ57" s="208" t="s">
        <v>156</v>
      </c>
      <c r="AK57" s="208" t="s">
        <v>157</v>
      </c>
      <c r="AL57" s="208" t="s">
        <v>158</v>
      </c>
      <c r="AM57" s="208" t="s">
        <v>159</v>
      </c>
      <c r="AN57" s="209" t="s">
        <v>160</v>
      </c>
      <c r="AO57" s="210" t="s">
        <v>161</v>
      </c>
      <c r="AQ57" s="204"/>
      <c r="AR57" s="203"/>
    </row>
    <row r="58" spans="1:44" x14ac:dyDescent="0.25">
      <c r="A58" s="161">
        <f t="shared" si="4"/>
        <v>11</v>
      </c>
      <c r="B58" s="159">
        <f t="shared" si="5"/>
        <v>2017</v>
      </c>
      <c r="C58" s="159"/>
      <c r="D58" s="160"/>
      <c r="F58" s="230">
        <f>WEEKNUM(M58,21)</f>
        <v>31</v>
      </c>
      <c r="G58" s="220" t="str">
        <f>IF(AND(YEAR((DATE($B$55,$A$55,1)-WEEKDAY(DATE($B$55,$A$55,1),2)+1)+0)=$B$55,MONTH((DATE($B$55,$A$55,1)-WEEKDAY(DATE($B$55,$A$55,1),2)+1)+0)=$A$55),((DATE($B$55,$A$55,1)-WEEKDAY(DATE($B$55,$A$55,1),2)+1)+0), "")</f>
        <v/>
      </c>
      <c r="H58" s="196">
        <f>IF(AND(YEAR((DATE($B$55,$A$55,1)-WEEKDAY(DATE($B$55,$A$55,1),2)+1)+1)=$B$55,MONTH((DATE($B$55,$A$55,1)-WEEKDAY(DATE($B$55,$A$55,1),2)+1)+1)=$A$55),((DATE($B$55,$A$55,1)-WEEKDAY(DATE($B$55,$A$55,1),2)+1)+1), "")</f>
        <v>42948</v>
      </c>
      <c r="I58" s="196">
        <f>IF(AND(YEAR((DATE($B$55,$A$55,1)-WEEKDAY(DATE($B$55,$A$55,1),2)+1)+2)=$B$55,MONTH((DATE($B$55,$A$55,1)-WEEKDAY(DATE($B$55,$A$55,1),2)+1)+2)=$A$55),((DATE($B$55,$A$55,1)-WEEKDAY(DATE($B$55,$A$55,1),2)+1)+2), "")</f>
        <v>42949</v>
      </c>
      <c r="J58" s="196">
        <f>IF(AND(YEAR((DATE($B$55,$A$55,1)-WEEKDAY(DATE($B$55,$A$55,1),2)+1)+3)=$B$55,MONTH((DATE($B$55,$A$55,1)-WEEKDAY(DATE($B$55,$A$55,1),2)+1)+3)=$A$55),((DATE($B$55,$A$55,1)-WEEKDAY(DATE($B$55,$A$55,1),2)+1)+3), "")</f>
        <v>42950</v>
      </c>
      <c r="K58" s="196">
        <f>IF(AND(YEAR((DATE($B$55,$A$55,1)-WEEKDAY(DATE($B$55,$A$55,1),2)+1)+4)=$B$55,MONTH((DATE($B$55,$A$55,1)-WEEKDAY(DATE($B$55,$A$55,1),2)+1)+4)=$A$55),((DATE($B$55,$A$55,1)-WEEKDAY(DATE($B$55,$A$55,1),2)+1)+4), "")</f>
        <v>42951</v>
      </c>
      <c r="L58" s="197">
        <f>IF(AND(YEAR((DATE($B$55,$A$55,1)-WEEKDAY(DATE($B$55,$A$55,1),2)+1)+5)=$B$55,MONTH((DATE($B$55,$A$55,1)-WEEKDAY(DATE($B$55,$A$55,1),2)+1)+5)=$A$55),((DATE($B$55,$A$55,1)-WEEKDAY(DATE($B$55,$A$55,1),2)+1)+5), "")</f>
        <v>42952</v>
      </c>
      <c r="M58" s="198">
        <f>IF(AND(YEAR((DATE($B$55,$A$55,1)-WEEKDAY(DATE($B$55,$A$55,1),2)+1)+6)=$B$55,MONTH((DATE($B$55,$A$55,1)-WEEKDAY(DATE($B$55,$A$55,1),2)+1)+6)=$A$55),((DATE($B$55,$A$55,1)-WEEKDAY(DATE($B$55,$A$55,1),2)+1)+6), "")</f>
        <v>42953</v>
      </c>
      <c r="N58" s="155"/>
      <c r="O58" s="230">
        <f>WEEKNUM(W58,21)</f>
        <v>35</v>
      </c>
      <c r="P58" s="220" t="str">
        <f>IF(AND(YEAR((DATE($B$56,$A$56,1)-WEEKDAY(DATE($B$56,$A$56,1),2)+1)+0)=$B$56,MONTH((DATE($B$56,$A$56,1)-WEEKDAY(DATE($B$56,$A$56,1),2)+1)+0)=$A$56),((DATE($B$56,$A$56,1)-WEEKDAY(DATE($B$56,$A$56,1),2)+1)+0), "")</f>
        <v/>
      </c>
      <c r="Q58" s="196" t="str">
        <f>IF(AND(YEAR((DATE($B$56,$A$56,1)-WEEKDAY(DATE($B$56,$A$56,1),2)+1)+1)=$B$56,MONTH((DATE($B$56,$A$56,1)-WEEKDAY(DATE($B$56,$A$56,1),2)+1)+1)=$A$56),((DATE($B$56,$A$56,1)-WEEKDAY(DATE($B$56,$A$56,1),2)+1)+1), "")</f>
        <v/>
      </c>
      <c r="R58" s="196" t="str">
        <f>IF(AND(YEAR((DATE($B$56,$A$56,1)-WEEKDAY(DATE($B$56,$A$56,1),2)+1)+2)=$B$56,MONTH((DATE($B$56,$A$56,1)-WEEKDAY(DATE($B$56,$A$56,1),2)+1)+2)=$A$56),((DATE($B$56,$A$56,1)-WEEKDAY(DATE($B$56,$A$56,1),2)+1)+2), "")</f>
        <v/>
      </c>
      <c r="S58" s="196" t="str">
        <f>IF(AND(YEAR((DATE($B$56,$A$56,1)-WEEKDAY(DATE($B$56,$A$56,1),2)+1)+3)=$B$56,MONTH((DATE($B$56,$A$56,1)-WEEKDAY(DATE($B$56,$A$56,1),2)+1)+3)=$A$56),((DATE($B$56,$A$56,1)-WEEKDAY(DATE($B$56,$A$56,1),2)+1)+3), "")</f>
        <v/>
      </c>
      <c r="T58" s="196">
        <f>IF(AND(YEAR((DATE($B$56,$A$56,1)-WEEKDAY(DATE($B$56,$A$56,1),2)+1)+4)=$B$56,MONTH((DATE($B$56,$A$56,1)-WEEKDAY(DATE($B$56,$A$56,1),2)+1)+4)=$A$56),((DATE($B$56,$A$56,1)-WEEKDAY(DATE($B$56,$A$56,1),2)+1)+4), "")</f>
        <v>42979</v>
      </c>
      <c r="U58" s="222">
        <f>IF(AND(YEAR((DATE($B$56,$A$56,1)-WEEKDAY(DATE($B$56,$A$56,1),2)+1)+5)=$B$56,MONTH((DATE($B$56,$A$56,1)-WEEKDAY(DATE($B$56,$A$56,1),2)+1)+5)=$A$56),((DATE($B$56,$A$56,1)-WEEKDAY(DATE($B$56,$A$56,1),2)+1)+5), "")</f>
        <v>42980</v>
      </c>
      <c r="V58" s="222"/>
      <c r="W58" s="198">
        <f>IF(AND(YEAR((DATE($B$56,$A$56,1)-WEEKDAY(DATE($B$56,$A$56,1),2)+1)+6)=$B$56,MONTH((DATE($B$56,$A$56,1)-WEEKDAY(DATE($B$56,$A$56,1),2)+1)+6)=$A$56),((DATE($B$56,$A$56,1)-WEEKDAY(DATE($B$56,$A$56,1),2)+1)+6), "")</f>
        <v>42981</v>
      </c>
      <c r="X58" s="155"/>
      <c r="Y58" s="230">
        <f>WEEKNUM(AF58,21)</f>
        <v>39</v>
      </c>
      <c r="Z58" s="220" t="str">
        <f>IF(AND(YEAR((DATE($B$57,$A$57,1)-WEEKDAY(DATE($B$57,$A$57,1),2)+1)+0)=$B$57,MONTH((DATE($B$57,$A$57,1)-WEEKDAY(DATE($B$57,$A$57,1),2)+1)+0)=$A$57),((DATE($B$57,$A$57,1)-WEEKDAY(DATE($B$57,$A$57,1),2)+1)+0), "")</f>
        <v/>
      </c>
      <c r="AA58" s="196" t="str">
        <f>IF(AND(YEAR((DATE($B$57,$A$57,1)-WEEKDAY(DATE($B$57,$A$57,1),2)+1)+1)=$B$57,MONTH((DATE($B$57,$A$57,1)-WEEKDAY(DATE($B$57,$A$57,1),2)+1)+1)=$A$57),((DATE($B$57,$A$57,1)-WEEKDAY(DATE($B$57,$A$57,1),2)+1)+1), "")</f>
        <v/>
      </c>
      <c r="AB58" s="196" t="str">
        <f>IF(AND(YEAR((DATE($B$57,$A$57,1)-WEEKDAY(DATE($B$57,$A$57,1),2)+1)+2)=$B$57,MONTH((DATE($B$57,$A$57,1)-WEEKDAY(DATE($B$57,$A$57,1),2)+1)+2)=$A$57),((DATE($B$57,$A$57,1)-WEEKDAY(DATE($B$57,$A$57,1),2)+1)+2), "")</f>
        <v/>
      </c>
      <c r="AC58" s="196" t="str">
        <f>IF(AND(YEAR((DATE($B$57,$A$57,1)-WEEKDAY(DATE($B$57,$A$57,1),2)+1)+3)=$B$57,MONTH((DATE($B$57,$A$57,1)-WEEKDAY(DATE($B$57,$A$57,1),2)+1)+3)=$A$57),((DATE($B$57,$A$57,1)-WEEKDAY(DATE($B$57,$A$57,1),2)+1)+3), "")</f>
        <v/>
      </c>
      <c r="AD58" s="196" t="str">
        <f>IF(AND(YEAR((DATE($B$57,$A$57,1)-WEEKDAY(DATE($B$57,$A$57,1),2)+1)+4)=$B$57,MONTH((DATE($B$57,$A$57,1)-WEEKDAY(DATE($B$57,$A$57,1),2)+1)+4)=$A$57),((DATE($B$57,$A$57,1)-WEEKDAY(DATE($B$57,$A$57,1),2)+1)+4), "")</f>
        <v/>
      </c>
      <c r="AE58" s="197" t="str">
        <f>IF(AND(YEAR((DATE($B$57,$A$57,1)-WEEKDAY(DATE($B$57,$A$57,1),2)+1)+5)=$B$57,MONTH((DATE($B$57,$A$57,1)-WEEKDAY(DATE($B$57,$A$57,1),2)+1)+5)=$A$57),((DATE($B$57,$A$57,1)-WEEKDAY(DATE($B$57,$A$57,1),2)+1)+5), "")</f>
        <v/>
      </c>
      <c r="AF58" s="198">
        <f>IF(AND(YEAR((DATE($B$57,$A$57,1)-WEEKDAY(DATE($B$57,$A$57,1),2)+1)+6)=$B$57,MONTH((DATE($B$57,$A$57,1)-WEEKDAY(DATE($B$57,$A$57,1),2)+1)+6)=$A$57),((DATE($B$57,$A$57,1)-WEEKDAY(DATE($B$57,$A$57,1),2)+1)+6), "")</f>
        <v>43009</v>
      </c>
      <c r="AG58" s="155"/>
      <c r="AH58" s="230">
        <f>WEEKNUM(AO58,21)</f>
        <v>44</v>
      </c>
      <c r="AI58" s="220" t="str">
        <f>IF(AND(YEAR((DATE($B$58,$A$58,1)-WEEKDAY(DATE($B$58,$A$58,1),2)+1)+0)=$B$58,MONTH((DATE($B$58,$A$58,1)-WEEKDAY(DATE($B$58,$A$58,1),2)+1)+0)=$A$58),((DATE($B$58,$A$58,1)-WEEKDAY(DATE($B$58,$A$58,1),2)+1)+0), "")</f>
        <v/>
      </c>
      <c r="AJ58" s="196" t="str">
        <f>IF(AND(YEAR((DATE($B$58,$A$58,1)-WEEKDAY(DATE($B$58,$A$58,1),2)+1)+1)=$B$58,MONTH((DATE($B$58,$A$58,1)-WEEKDAY(DATE($B$58,$A$58,1),2)+1)+1)=$A$58),((DATE($B$58,$A$58,1)-WEEKDAY(DATE($B$58,$A$58,1),2)+1)+1), "")</f>
        <v/>
      </c>
      <c r="AK58" s="196">
        <f>IF(AND(YEAR((DATE($B$58,$A$58,1)-WEEKDAY(DATE($B$58,$A$58,1),2)+1)+2)=$B$58,MONTH((DATE($B$58,$A$58,1)-WEEKDAY(DATE($B$58,$A$58,1),2)+1)+2)=$A$58),((DATE($B$58,$A$58,1)-WEEKDAY(DATE($B$58,$A$58,1),2)+1)+2), "")</f>
        <v>43040</v>
      </c>
      <c r="AL58" s="196">
        <f>IF(AND(YEAR((DATE($B$58,$A$58,1)-WEEKDAY(DATE($B$58,$A$58,1),2)+1)+3)=$B$58,MONTH((DATE($B$58,$A$58,1)-WEEKDAY(DATE($B$58,$A$58,1),2)+1)+3)=$A$58),((DATE($B$58,$A$58,1)-WEEKDAY(DATE($B$58,$A$58,1),2)+1)+3), "")</f>
        <v>43041</v>
      </c>
      <c r="AM58" s="196">
        <f>IF(AND(YEAR((DATE($B$58,$A$58,1)-WEEKDAY(DATE($B$58,$A$58,1),2)+1)+4)=$B$58,MONTH((DATE($B$58,$A$58,1)-WEEKDAY(DATE($B$58,$A$58,1),2)+1)+4)=$A$58),((DATE($B$58,$A$58,1)-WEEKDAY(DATE($B$58,$A$58,1),2)+1)+4), "")</f>
        <v>43042</v>
      </c>
      <c r="AN58" s="197">
        <f>IF(AND(YEAR((DATE($B$58,$A$58,1)-WEEKDAY(DATE($B$58,$A$58,1),2)+1)+5)=$B$58,MONTH((DATE($B$58,$A$58,1)-WEEKDAY(DATE($B$58,$A$58,1),2)+1)+5)=$A$58),((DATE($B$58,$A$58,1)-WEEKDAY(DATE($B$58,$A$58,1),2)+1)+5), "")</f>
        <v>43043</v>
      </c>
      <c r="AO58" s="198">
        <f>IF(AND(YEAR((DATE($B$58,$A$58,1)-WEEKDAY(DATE($B$58,$A$58,1),2)+1)+6)=$B$58,MONTH((DATE($B$58,$A$58,1)-WEEKDAY(DATE($B$58,$A$58,1),2)+1)+6)=$A$58),((DATE($B$58,$A$58,1)-WEEKDAY(DATE($B$58,$A$58,1),2)+1)+6), "")</f>
        <v>43044</v>
      </c>
      <c r="AQ58" s="202" t="s">
        <v>182</v>
      </c>
      <c r="AR58" s="229">
        <v>7</v>
      </c>
    </row>
    <row r="59" spans="1:44" x14ac:dyDescent="0.25">
      <c r="A59" s="161">
        <f t="shared" si="4"/>
        <v>12</v>
      </c>
      <c r="B59" s="159">
        <f t="shared" si="5"/>
        <v>2017</v>
      </c>
      <c r="C59" s="159"/>
      <c r="D59" s="160"/>
      <c r="F59" s="230">
        <f>WEEKNUM(G59,21)</f>
        <v>32</v>
      </c>
      <c r="G59" s="196">
        <f>IF(AND(YEAR((DATE($B$55,$A$55,1)-WEEKDAY(DATE($B$55,$A$55,1),2)+1)+7)=$B$55,MONTH((DATE($B$55,$A$55,1)-WEEKDAY(DATE($B$55,$A$55,1),2)+1)+7)=$A$55),((DATE($B$55,$A$55,1)-WEEKDAY(DATE($B$55,$A$55,1),2)+1)+7), "")</f>
        <v>42954</v>
      </c>
      <c r="H59" s="196">
        <f>IF(AND(YEAR((DATE($B$55,$A$55,1)-WEEKDAY(DATE($B$55,$A$55,1),2)+1)+8)=$B$55,MONTH((DATE($B$55,$A$55,1)-WEEKDAY(DATE($B$55,$A$55,1),2)+1)+8)=$A$55),((DATE($B$55,$A$55,1)-WEEKDAY(DATE($B$55,$A$55,1),2)+1)+8), "")</f>
        <v>42955</v>
      </c>
      <c r="I59" s="196">
        <f>IF(AND(YEAR((DATE($B$55,$A$55,1)-WEEKDAY(DATE($B$55,$A$55,1),2)+1)+9)=$B$55,MONTH((DATE($B$55,$A$55,1)-WEEKDAY(DATE($B$55,$A$55,1),2)+1)+9)=$A$55),((DATE($B$55,$A$55,1)-WEEKDAY(DATE($B$55,$A$55,1),2)+1)+9), "")</f>
        <v>42956</v>
      </c>
      <c r="J59" s="196">
        <f>IF(AND(YEAR((DATE($B$55,$A$55,1)-WEEKDAY(DATE($B$55,$A$55,1),2)+1)+10)=$B$55,MONTH((DATE($B$55,$A$55,1)-WEEKDAY(DATE($B$55,$A$55,1),2)+1)+10)=$A$55),((DATE($B$55,$A$55,1)-WEEKDAY(DATE($B$55,$A$55,1),2)+1)+10), "")</f>
        <v>42957</v>
      </c>
      <c r="K59" s="196">
        <f>IF(AND(YEAR((DATE($B$55,$A$55,1)-WEEKDAY(DATE($B$55,$A$55,1),2)+1)+11)=$B$55,MONTH((DATE($B$55,$A$55,1)-WEEKDAY(DATE($B$55,$A$55,1),2)+1)+11)=$A$55),((DATE($B$55,$A$55,1)-WEEKDAY(DATE($B$55,$A$55,1),2)+1)+11), "")</f>
        <v>42958</v>
      </c>
      <c r="L59" s="197">
        <f>IF(AND(YEAR((DATE($B$55,$A$55,1)-WEEKDAY(DATE($B$55,$A$55,1),2)+1)+12)=$B$55,MONTH((DATE($B$55,$A$55,1)-WEEKDAY(DATE($B$55,$A$55,1),2)+1)+12)=$A$55),((DATE($B$55,$A$55,1)-WEEKDAY(DATE($B$55,$A$55,1),2)+1)+12), "")</f>
        <v>42959</v>
      </c>
      <c r="M59" s="198">
        <f>IF(AND(YEAR((DATE($B$55,$A$55,1)-WEEKDAY(DATE($B$55,$A$55,1),2)+1)+13)=$B$55,MONTH((DATE($B$55,$A$55,1)-WEEKDAY(DATE($B$55,$A$55,1),2)+1)+13)=$A$55),((DATE($B$55,$A$55,1)-WEEKDAY(DATE($B$55,$A$55,1),2)+1)+13), "")</f>
        <v>42960</v>
      </c>
      <c r="N59" s="155"/>
      <c r="O59" s="230">
        <f>WEEKNUM(P59,21)</f>
        <v>36</v>
      </c>
      <c r="P59" s="196">
        <f>IF(AND(YEAR((DATE($B$56,$A$56,1)-WEEKDAY(DATE($B$56,$A$56,1),2)+1)+7)=$B$56,MONTH((DATE($B$56,$A$56,1)-WEEKDAY(DATE($B$56,$A$56,1),2)+1)+7)=$A$56),((DATE($B$56,$A$56,1)-WEEKDAY(DATE($B$56,$A$56,1),2)+1)+7), "")</f>
        <v>42982</v>
      </c>
      <c r="Q59" s="196">
        <f>IF(AND(YEAR((DATE($B$56,$A$56,1)-WEEKDAY(DATE($B$56,$A$56,1),2)+1)+8)=$B$56,MONTH((DATE($B$56,$A$56,1)-WEEKDAY(DATE($B$56,$A$56,1),2)+1)+8)=$A$56),((DATE($B$56,$A$56,1)-WEEKDAY(DATE($B$56,$A$56,1),2)+1)+8), "")</f>
        <v>42983</v>
      </c>
      <c r="R59" s="196">
        <f>IF(AND(YEAR((DATE($B$56,$A$56,1)-WEEKDAY(DATE($B$56,$A$56,1),2)+1)+9)=$B$56,MONTH((DATE($B$56,$A$56,1)-WEEKDAY(DATE($B$56,$A$56,1),2)+1)+9)=$A$56),((DATE($B$56,$A$56,1)-WEEKDAY(DATE($B$56,$A$56,1),2)+1)+9), "")</f>
        <v>42984</v>
      </c>
      <c r="S59" s="196">
        <f>IF(AND(YEAR((DATE($B$56,$A$56,1)-WEEKDAY(DATE($B$56,$A$56,1),2)+1)+10)=$B$56,MONTH((DATE($B$56,$A$56,1)-WEEKDAY(DATE($B$56,$A$56,1),2)+1)+10)=$A$56),((DATE($B$56,$A$56,1)-WEEKDAY(DATE($B$56,$A$56,1),2)+1)+10), "")</f>
        <v>42985</v>
      </c>
      <c r="T59" s="196">
        <f>IF(AND(YEAR((DATE($B$56,$A$56,1)-WEEKDAY(DATE($B$56,$A$56,1),2)+1)+11)=$B$56,MONTH((DATE($B$56,$A$56,1)-WEEKDAY(DATE($B$56,$A$56,1),2)+1)+11)=$A$56),((DATE($B$56,$A$56,1)-WEEKDAY(DATE($B$56,$A$56,1),2)+1)+11), "")</f>
        <v>42986</v>
      </c>
      <c r="U59" s="221">
        <f>IF(AND(YEAR((DATE($B$56,$A$56,1)-WEEKDAY(DATE($B$56,$A$56,1),2)+1)+12)=$B$56,MONTH((DATE($B$56,$A$56,1)-WEEKDAY(DATE($B$56,$A$56,1),2)+1)+12)=$A$56),((DATE($B$56,$A$56,1)-WEEKDAY(DATE($B$56,$A$56,1),2)+1)+12), "")</f>
        <v>42987</v>
      </c>
      <c r="V59" s="221"/>
      <c r="W59" s="198">
        <f>IF(AND(YEAR((DATE($B$56,$A$56,1)-WEEKDAY(DATE($B$56,$A$56,1),2)+1)+13)=$B$56,MONTH((DATE($B$56,$A$56,1)-WEEKDAY(DATE($B$56,$A$56,1),2)+1)+13)=$A$56),((DATE($B$56,$A$56,1)-WEEKDAY(DATE($B$56,$A$56,1),2)+1)+13), "")</f>
        <v>42988</v>
      </c>
      <c r="X59" s="155"/>
      <c r="Y59" s="230">
        <f>WEEKNUM(Z59,21)</f>
        <v>40</v>
      </c>
      <c r="Z59" s="196">
        <f>IF(AND(YEAR((DATE($B$57,$A$57,1)-WEEKDAY(DATE($B$57,$A$57,1),2)+1)+7)=$B$57,MONTH((DATE($B$57,$A$57,1)-WEEKDAY(DATE($B$57,$A$57,1),2)+1)+7)=$A$57),((DATE($B$57,$A$57,1)-WEEKDAY(DATE($B$57,$A$57,1),2)+1)+7), "")</f>
        <v>43010</v>
      </c>
      <c r="AA59" s="196">
        <f>IF(AND(YEAR((DATE($B$57,$A$57,1)-WEEKDAY(DATE($B$57,$A$57,1),2)+1)+8)=$B$57,MONTH((DATE($B$57,$A$57,1)-WEEKDAY(DATE($B$57,$A$57,1),2)+1)+8)=$A$57),((DATE($B$57,$A$57,1)-WEEKDAY(DATE($B$57,$A$57,1),2)+1)+8), "")</f>
        <v>43011</v>
      </c>
      <c r="AB59" s="196">
        <f>IF(AND(YEAR((DATE($B$57,$A$57,1)-WEEKDAY(DATE($B$57,$A$57,1),2)+1)+9)=$B$57,MONTH((DATE($B$57,$A$57,1)-WEEKDAY(DATE($B$57,$A$57,1),2)+1)+9)=$A$57),((DATE($B$57,$A$57,1)-WEEKDAY(DATE($B$57,$A$57,1),2)+1)+9), "")</f>
        <v>43012</v>
      </c>
      <c r="AC59" s="196">
        <f>IF(AND(YEAR((DATE($B$57,$A$57,1)-WEEKDAY(DATE($B$57,$A$57,1),2)+1)+10)=$B$57,MONTH((DATE($B$57,$A$57,1)-WEEKDAY(DATE($B$57,$A$57,1),2)+1)+10)=$A$57),((DATE($B$57,$A$57,1)-WEEKDAY(DATE($B$57,$A$57,1),2)+1)+10), "")</f>
        <v>43013</v>
      </c>
      <c r="AD59" s="196">
        <f>IF(AND(YEAR((DATE($B$57,$A$57,1)-WEEKDAY(DATE($B$57,$A$57,1),2)+1)+11)=$B$57,MONTH((DATE($B$57,$A$57,1)-WEEKDAY(DATE($B$57,$A$57,1),2)+1)+11)=$A$57),((DATE($B$57,$A$57,1)-WEEKDAY(DATE($B$57,$A$57,1),2)+1)+11), "")</f>
        <v>43014</v>
      </c>
      <c r="AE59" s="197">
        <f>IF(AND(YEAR((DATE($B$57,$A$57,1)-WEEKDAY(DATE($B$57,$A$57,1),2)+1)+12)=$B$57,MONTH((DATE($B$57,$A$57,1)-WEEKDAY(DATE($B$57,$A$57,1),2)+1)+12)=$A$57),((DATE($B$57,$A$57,1)-WEEKDAY(DATE($B$57,$A$57,1),2)+1)+12), "")</f>
        <v>43015</v>
      </c>
      <c r="AF59" s="198">
        <f>IF(AND(YEAR((DATE($B$57,$A$57,1)-WEEKDAY(DATE($B$57,$A$57,1),2)+1)+13)=$B$57,MONTH((DATE($B$57,$A$57,1)-WEEKDAY(DATE($B$57,$A$57,1),2)+1)+13)=$A$57),((DATE($B$57,$A$57,1)-WEEKDAY(DATE($B$57,$A$57,1),2)+1)+13), "")</f>
        <v>43016</v>
      </c>
      <c r="AG59" s="155"/>
      <c r="AH59" s="230">
        <f>WEEKNUM(AI59,21)</f>
        <v>45</v>
      </c>
      <c r="AI59" s="196">
        <f>IF(AND(YEAR((DATE($B$58,$A$58,1)-WEEKDAY(DATE($B$58,$A$58,1),2)+1)+7)=$B$58,MONTH((DATE($B$58,$A$58,1)-WEEKDAY(DATE($B$58,$A$58,1),2)+1)+7)=$A$58),((DATE($B$58,$A$58,1)-WEEKDAY(DATE($B$58,$A$58,1),2)+1)+7), "")</f>
        <v>43045</v>
      </c>
      <c r="AJ59" s="196">
        <f>IF(AND(YEAR((DATE($B$58,$A$58,1)-WEEKDAY(DATE($B$58,$A$58,1),2)+1)+8)=$B$58,MONTH((DATE($B$58,$A$58,1)-WEEKDAY(DATE($B$58,$A$58,1),2)+1)+8)=$A$58),((DATE($B$58,$A$58,1)-WEEKDAY(DATE($B$58,$A$58,1),2)+1)+8), "")</f>
        <v>43046</v>
      </c>
      <c r="AK59" s="196">
        <f>IF(AND(YEAR((DATE($B$58,$A$58,1)-WEEKDAY(DATE($B$58,$A$58,1),2)+1)+9)=$B$58,MONTH((DATE($B$58,$A$58,1)-WEEKDAY(DATE($B$58,$A$58,1),2)+1)+9)=$A$58),((DATE($B$58,$A$58,1)-WEEKDAY(DATE($B$58,$A$58,1),2)+1)+9), "")</f>
        <v>43047</v>
      </c>
      <c r="AL59" s="196">
        <f>IF(AND(YEAR((DATE($B$58,$A$58,1)-WEEKDAY(DATE($B$58,$A$58,1),2)+1)+10)=$B$58,MONTH((DATE($B$58,$A$58,1)-WEEKDAY(DATE($B$58,$A$58,1),2)+1)+10)=$A$58),((DATE($B$58,$A$58,1)-WEEKDAY(DATE($B$58,$A$58,1),2)+1)+10), "")</f>
        <v>43048</v>
      </c>
      <c r="AM59" s="196">
        <f>IF(AND(YEAR((DATE($B$58,$A$58,1)-WEEKDAY(DATE($B$58,$A$58,1),2)+1)+11)=$B$58,MONTH((DATE($B$58,$A$58,1)-WEEKDAY(DATE($B$58,$A$58,1),2)+1)+11)=$A$58),((DATE($B$58,$A$58,1)-WEEKDAY(DATE($B$58,$A$58,1),2)+1)+11), "")</f>
        <v>43049</v>
      </c>
      <c r="AN59" s="197">
        <f>IF(AND(YEAR((DATE($B$58,$A$58,1)-WEEKDAY(DATE($B$58,$A$58,1),2)+1)+12)=$B$58,MONTH((DATE($B$58,$A$58,1)-WEEKDAY(DATE($B$58,$A$58,1),2)+1)+12)=$A$58),((DATE($B$58,$A$58,1)-WEEKDAY(DATE($B$58,$A$58,1),2)+1)+12), "")</f>
        <v>43050</v>
      </c>
      <c r="AO59" s="198">
        <f>IF(AND(YEAR((DATE($B$58,$A$58,1)-WEEKDAY(DATE($B$58,$A$58,1),2)+1)+13)=$B$58,MONTH((DATE($B$58,$A$58,1)-WEEKDAY(DATE($B$58,$A$58,1),2)+1)+13)=$A$58),((DATE($B$58,$A$58,1)-WEEKDAY(DATE($B$58,$A$58,1),2)+1)+13), "")</f>
        <v>43051</v>
      </c>
      <c r="AQ59" s="202" t="s">
        <v>183</v>
      </c>
      <c r="AR59" s="234">
        <v>14</v>
      </c>
    </row>
    <row r="60" spans="1:44" x14ac:dyDescent="0.25">
      <c r="A60" s="161"/>
      <c r="B60" s="159"/>
      <c r="C60" s="159"/>
      <c r="D60" s="160"/>
      <c r="F60" s="230">
        <f t="shared" ref="F60:F62" si="6">WEEKNUM(G60,21)</f>
        <v>33</v>
      </c>
      <c r="G60" s="196">
        <f>IF(AND(YEAR((DATE($B$55,$A$55,1)-WEEKDAY(DATE($B$55,$A$55,1),2)+1)+14)=$B$55,MONTH((DATE($B$55,$A$55,1)-WEEKDAY(DATE($B$55,$A$55,1),2)+1)+14)=$A$55),((DATE($B$55,$A$55,1)-WEEKDAY(DATE($B$55,$A$55,1),2)+1)+14), "")</f>
        <v>42961</v>
      </c>
      <c r="H60" s="196">
        <f>IF(AND(YEAR((DATE($B$55,$A$55,1)-WEEKDAY(DATE($B$55,$A$55,1),2)+1)+15)=$B$55,MONTH((DATE($B$55,$A$55,1)-WEEKDAY(DATE($B$55,$A$55,1),2)+1)+15)=$A$55),((DATE($B$55,$A$55,1)-WEEKDAY(DATE($B$55,$A$55,1),2)+1)+15), "")</f>
        <v>42962</v>
      </c>
      <c r="I60" s="196">
        <f>IF(AND(YEAR((DATE($B$55,$A$55,1)-WEEKDAY(DATE($B$55,$A$55,1),2)+1)+16)=$B$55,MONTH((DATE($B$55,$A$55,1)-WEEKDAY(DATE($B$55,$A$55,1),2)+1)+16)=$A$55),((DATE($B$55,$A$55,1)-WEEKDAY(DATE($B$55,$A$55,1),2)+1)+16), "")</f>
        <v>42963</v>
      </c>
      <c r="J60" s="196">
        <f>IF(AND(YEAR((DATE($B$55,$A$55,1)-WEEKDAY(DATE($B$55,$A$55,1),2)+1)+17)=$B$55,MONTH((DATE($B$55,$A$55,1)-WEEKDAY(DATE($B$55,$A$55,1),2)+1)+17)=$A$55),((DATE($B$55,$A$55,1)-WEEKDAY(DATE($B$55,$A$55,1),2)+1)+17), "")</f>
        <v>42964</v>
      </c>
      <c r="K60" s="196">
        <f>IF(AND(YEAR((DATE($B$55,$A$55,1)-WEEKDAY(DATE($B$55,$A$55,1),2)+1)+18)=$B$55,MONTH((DATE($B$55,$A$55,1)-WEEKDAY(DATE($B$55,$A$55,1),2)+1)+18)=$A$55),((DATE($B$55,$A$55,1)-WEEKDAY(DATE($B$55,$A$55,1),2)+1)+18), "")</f>
        <v>42965</v>
      </c>
      <c r="L60" s="197">
        <f>IF(AND(YEAR((DATE($B$55,$A$55,1)-WEEKDAY(DATE($B$55,$A$55,1),2)+1)+19)=$B$55,MONTH((DATE($B$55,$A$55,1)-WEEKDAY(DATE($B$55,$A$55,1),2)+1)+19)=$A$55),((DATE($B$55,$A$55,1)-WEEKDAY(DATE($B$55,$A$55,1),2)+1)+19), "")</f>
        <v>42966</v>
      </c>
      <c r="M60" s="198">
        <f>IF(AND(YEAR((DATE($B$55,$A$55,1)-WEEKDAY(DATE($B$55,$A$55,1),2)+1)+20)=$B$55,MONTH((DATE($B$55,$A$55,1)-WEEKDAY(DATE($B$55,$A$55,1),2)+1)+20)=$A$55),((DATE($B$55,$A$55,1)-WEEKDAY(DATE($B$55,$A$55,1),2)+1)+20), "")</f>
        <v>42967</v>
      </c>
      <c r="N60" s="155"/>
      <c r="O60" s="230">
        <f t="shared" ref="O60:O62" si="7">WEEKNUM(P60,21)</f>
        <v>37</v>
      </c>
      <c r="P60" s="196">
        <f>IF(AND(YEAR((DATE($B$56,$A$56,1)-WEEKDAY(DATE($B$56,$A$56,1),2)+1)+14)=$B$56,MONTH((DATE($B$56,$A$56,1)-WEEKDAY(DATE($B$56,$A$56,1),2)+1)+14)=$A$56),((DATE($B$56,$A$56,1)-WEEKDAY(DATE($B$56,$A$56,1),2)+1)+14), "")</f>
        <v>42989</v>
      </c>
      <c r="Q60" s="196">
        <f>IF(AND(YEAR((DATE($B$56,$A$56,1)-WEEKDAY(DATE($B$56,$A$56,1),2)+1)+15)=$B$56,MONTH((DATE($B$56,$A$56,1)-WEEKDAY(DATE($B$56,$A$56,1),2)+1)+15)=$A$56),((DATE($B$56,$A$56,1)-WEEKDAY(DATE($B$56,$A$56,1),2)+1)+15), "")</f>
        <v>42990</v>
      </c>
      <c r="R60" s="196">
        <f>IF(AND(YEAR((DATE($B$56,$A$56,1)-WEEKDAY(DATE($B$56,$A$56,1),2)+1)+16)=$B$56,MONTH((DATE($B$56,$A$56,1)-WEEKDAY(DATE($B$56,$A$56,1),2)+1)+16)=$A$56),((DATE($B$56,$A$56,1)-WEEKDAY(DATE($B$56,$A$56,1),2)+1)+16), "")</f>
        <v>42991</v>
      </c>
      <c r="S60" s="196">
        <f>IF(AND(YEAR((DATE($B$56,$A$56,1)-WEEKDAY(DATE($B$56,$A$56,1),2)+1)+17)=$B$56,MONTH((DATE($B$56,$A$56,1)-WEEKDAY(DATE($B$56,$A$56,1),2)+1)+17)=$A$56),((DATE($B$56,$A$56,1)-WEEKDAY(DATE($B$56,$A$56,1),2)+1)+17), "")</f>
        <v>42992</v>
      </c>
      <c r="T60" s="196">
        <f>IF(AND(YEAR((DATE($B$56,$A$56,1)-WEEKDAY(DATE($B$56,$A$56,1),2)+1)+18)=$B$56,MONTH((DATE($B$56,$A$56,1)-WEEKDAY(DATE($B$56,$A$56,1),2)+1)+18)=$A$56),((DATE($B$56,$A$56,1)-WEEKDAY(DATE($B$56,$A$56,1),2)+1)+18), "")</f>
        <v>42993</v>
      </c>
      <c r="U60" s="221">
        <f>IF(AND(YEAR((DATE($B$56,$A$56,1)-WEEKDAY(DATE($B$56,$A$56,1),2)+1)+19)=$B$56,MONTH((DATE($B$56,$A$56,1)-WEEKDAY(DATE($B$56,$A$56,1),2)+1)+19)=$A$56),((DATE($B$56,$A$56,1)-WEEKDAY(DATE($B$56,$A$56,1),2)+1)+19), "")</f>
        <v>42994</v>
      </c>
      <c r="V60" s="221"/>
      <c r="W60" s="198">
        <f>IF(AND(YEAR((DATE($B$56,$A$56,1)-WEEKDAY(DATE($B$56,$A$56,1),2)+1)+20)=$B$56,MONTH((DATE($B$56,$A$56,1)-WEEKDAY(DATE($B$56,$A$56,1),2)+1)+20)=$A$56),((DATE($B$56,$A$56,1)-WEEKDAY(DATE($B$56,$A$56,1),2)+1)+20), "")</f>
        <v>42995</v>
      </c>
      <c r="X60" s="155"/>
      <c r="Y60" s="230">
        <f t="shared" ref="Y60:Y62" si="8">WEEKNUM(Z60,21)</f>
        <v>41</v>
      </c>
      <c r="Z60" s="196">
        <f>IF(AND(YEAR((DATE($B$57,$A$57,1)-WEEKDAY(DATE($B$57,$A$57,1),2)+1)+14)=$B$57,MONTH((DATE($B$57,$A$57,1)-WEEKDAY(DATE($B$57,$A$57,1),2)+1)+14)=$A$57),((DATE($B$57,$A$57,1)-WEEKDAY(DATE($B$57,$A$57,1),2)+1)+14), "")</f>
        <v>43017</v>
      </c>
      <c r="AA60" s="196">
        <f>IF(AND(YEAR((DATE($B$57,$A$57,1)-WEEKDAY(DATE($B$57,$A$57,1),2)+1)+15)=$B$57,MONTH((DATE($B$57,$A$57,1)-WEEKDAY(DATE($B$57,$A$57,1),2)+1)+15)=$A$57),((DATE($B$57,$A$57,1)-WEEKDAY(DATE($B$57,$A$57,1),2)+1)+15), "")</f>
        <v>43018</v>
      </c>
      <c r="AB60" s="196">
        <f>IF(AND(YEAR((DATE($B$57,$A$57,1)-WEEKDAY(DATE($B$57,$A$57,1),2)+1)+16)=$B$57,MONTH((DATE($B$57,$A$57,1)-WEEKDAY(DATE($B$57,$A$57,1),2)+1)+16)=$A$57),((DATE($B$57,$A$57,1)-WEEKDAY(DATE($B$57,$A$57,1),2)+1)+16), "")</f>
        <v>43019</v>
      </c>
      <c r="AC60" s="196">
        <f>IF(AND(YEAR((DATE($B$57,$A$57,1)-WEEKDAY(DATE($B$57,$A$57,1),2)+1)+17)=$B$57,MONTH((DATE($B$57,$A$57,1)-WEEKDAY(DATE($B$57,$A$57,1),2)+1)+17)=$A$57),((DATE($B$57,$A$57,1)-WEEKDAY(DATE($B$57,$A$57,1),2)+1)+17), "")</f>
        <v>43020</v>
      </c>
      <c r="AD60" s="196">
        <f>IF(AND(YEAR((DATE($B$57,$A$57,1)-WEEKDAY(DATE($B$57,$A$57,1),2)+1)+18)=$B$57,MONTH((DATE($B$57,$A$57,1)-WEEKDAY(DATE($B$57,$A$57,1),2)+1)+18)=$A$57),((DATE($B$57,$A$57,1)-WEEKDAY(DATE($B$57,$A$57,1),2)+1)+18), "")</f>
        <v>43021</v>
      </c>
      <c r="AE60" s="197">
        <f>IF(AND(YEAR((DATE($B$57,$A$57,1)-WEEKDAY(DATE($B$57,$A$57,1),2)+1)+19)=$B$57,MONTH((DATE($B$57,$A$57,1)-WEEKDAY(DATE($B$57,$A$57,1),2)+1)+19)=$A$57),((DATE($B$57,$A$57,1)-WEEKDAY(DATE($B$57,$A$57,1),2)+1)+19), "")</f>
        <v>43022</v>
      </c>
      <c r="AF60" s="198">
        <f>IF(AND(YEAR((DATE($B$57,$A$57,1)-WEEKDAY(DATE($B$57,$A$57,1),2)+1)+20)=$B$57,MONTH((DATE($B$57,$A$57,1)-WEEKDAY(DATE($B$57,$A$57,1),2)+1)+20)=$A$57),((DATE($B$57,$A$57,1)-WEEKDAY(DATE($B$57,$A$57,1),2)+1)+20), "")</f>
        <v>43023</v>
      </c>
      <c r="AG60" s="155"/>
      <c r="AH60" s="230">
        <f t="shared" ref="AH60:AH62" si="9">WEEKNUM(AI60,21)</f>
        <v>46</v>
      </c>
      <c r="AI60" s="196">
        <f>IF(AND(YEAR((DATE($B$58,$A$58,1)-WEEKDAY(DATE($B$58,$A$58,1),2)+1)+14)=$B$58,MONTH((DATE($B$58,$A$58,1)-WEEKDAY(DATE($B$58,$A$58,1),2)+1)+14)=$A$58),((DATE($B$58,$A$58,1)-WEEKDAY(DATE($B$58,$A$58,1),2)+1)+14), "")</f>
        <v>43052</v>
      </c>
      <c r="AJ60" s="196">
        <f>IF(AND(YEAR((DATE($B$58,$A$58,1)-WEEKDAY(DATE($B$58,$A$58,1),2)+1)+15)=$B$58,MONTH((DATE($B$58,$A$58,1)-WEEKDAY(DATE($B$58,$A$58,1),2)+1)+15)=$A$58),((DATE($B$58,$A$58,1)-WEEKDAY(DATE($B$58,$A$58,1),2)+1)+15), "")</f>
        <v>43053</v>
      </c>
      <c r="AK60" s="196">
        <f>IF(AND(YEAR((DATE($B$58,$A$58,1)-WEEKDAY(DATE($B$58,$A$58,1),2)+1)+16)=$B$58,MONTH((DATE($B$58,$A$58,1)-WEEKDAY(DATE($B$58,$A$58,1),2)+1)+16)=$A$58),((DATE($B$58,$A$58,1)-WEEKDAY(DATE($B$58,$A$58,1),2)+1)+16), "")</f>
        <v>43054</v>
      </c>
      <c r="AL60" s="196">
        <f>IF(AND(YEAR((DATE($B$58,$A$58,1)-WEEKDAY(DATE($B$58,$A$58,1),2)+1)+17)=$B$58,MONTH((DATE($B$58,$A$58,1)-WEEKDAY(DATE($B$58,$A$58,1),2)+1)+17)=$A$58),((DATE($B$58,$A$58,1)-WEEKDAY(DATE($B$58,$A$58,1),2)+1)+17), "")</f>
        <v>43055</v>
      </c>
      <c r="AM60" s="196">
        <f>IF(AND(YEAR((DATE($B$58,$A$58,1)-WEEKDAY(DATE($B$58,$A$58,1),2)+1)+18)=$B$58,MONTH((DATE($B$58,$A$58,1)-WEEKDAY(DATE($B$58,$A$58,1),2)+1)+18)=$A$58),((DATE($B$58,$A$58,1)-WEEKDAY(DATE($B$58,$A$58,1),2)+1)+18), "")</f>
        <v>43056</v>
      </c>
      <c r="AN60" s="197">
        <f>IF(AND(YEAR((DATE($B$58,$A$58,1)-WEEKDAY(DATE($B$58,$A$58,1),2)+1)+19)=$B$58,MONTH((DATE($B$58,$A$58,1)-WEEKDAY(DATE($B$58,$A$58,1),2)+1)+19)=$A$58),((DATE($B$58,$A$58,1)-WEEKDAY(DATE($B$58,$A$58,1),2)+1)+19), "")</f>
        <v>43057</v>
      </c>
      <c r="AO60" s="198">
        <f>IF(AND(YEAR((DATE($B$58,$A$58,1)-WEEKDAY(DATE($B$58,$A$58,1),2)+1)+20)=$B$58,MONTH((DATE($B$58,$A$58,1)-WEEKDAY(DATE($B$58,$A$58,1),2)+1)+20)=$A$58),((DATE($B$58,$A$58,1)-WEEKDAY(DATE($B$58,$A$58,1),2)+1)+20), "")</f>
        <v>43058</v>
      </c>
      <c r="AQ60" s="202" t="s">
        <v>186</v>
      </c>
      <c r="AR60" s="233">
        <v>21</v>
      </c>
    </row>
    <row r="61" spans="1:44" x14ac:dyDescent="0.25">
      <c r="A61" s="161"/>
      <c r="B61" s="159"/>
      <c r="C61" s="159"/>
      <c r="D61" s="160"/>
      <c r="F61" s="230">
        <f t="shared" si="6"/>
        <v>34</v>
      </c>
      <c r="G61" s="196">
        <f>IF(AND(YEAR((DATE($B$55,$A$55,1)-WEEKDAY(DATE($B$55,$A$55,1),2)+1)+21)=$B$55,MONTH((DATE($B$55,$A$55,1)-WEEKDAY(DATE($B$55,$A$55,1),2)+1)+21)=$A$55),((DATE($B$55,$A$55,1)-WEEKDAY(DATE($B$55,$A$55,1),2)+1)+21), "")</f>
        <v>42968</v>
      </c>
      <c r="H61" s="196">
        <f>IF(AND(YEAR((DATE($B$55,$A$55,1)-WEEKDAY(DATE($B$55,$A$55,1),2)+1)+22)=$B$55,MONTH((DATE($B$55,$A$55,1)-WEEKDAY(DATE($B$55,$A$55,1),2)+1)+22)=$A$55),((DATE($B$55,$A$55,1)-WEEKDAY(DATE($B$55,$A$55,1),2)+1)+22), "")</f>
        <v>42969</v>
      </c>
      <c r="I61" s="196">
        <f>IF(AND(YEAR((DATE($B$55,$A$55,1)-WEEKDAY(DATE($B$55,$A$55,1),2)+1)+23)=$B$55,MONTH((DATE($B$55,$A$55,1)-WEEKDAY(DATE($B$55,$A$55,1),2)+1)+23)=$A$55),((DATE($B$55,$A$55,1)-WEEKDAY(DATE($B$55,$A$55,1),2)+1)+23), "")</f>
        <v>42970</v>
      </c>
      <c r="J61" s="196">
        <f>IF(AND(YEAR((DATE($B$55,$A$55,1)-WEEKDAY(DATE($B$55,$A$55,1),2)+1)+24)=$B$55,MONTH((DATE($B$55,$A$55,1)-WEEKDAY(DATE($B$55,$A$55,1),2)+1)+24)=$A$55),((DATE($B$55,$A$55,1)-WEEKDAY(DATE($B$55,$A$55,1),2)+1)+24), "")</f>
        <v>42971</v>
      </c>
      <c r="K61" s="196">
        <f>IF(AND(YEAR((DATE($B$55,$A$55,1)-WEEKDAY(DATE($B$55,$A$55,1),2)+1)+25)=$B$55,MONTH((DATE($B$55,$A$55,1)-WEEKDAY(DATE($B$55,$A$55,1),2)+1)+25)=$A$55),((DATE($B$55,$A$55,1)-WEEKDAY(DATE($B$55,$A$55,1),2)+1)+25), "")</f>
        <v>42972</v>
      </c>
      <c r="L61" s="197">
        <f>IF(AND(YEAR((DATE($B$55,$A$55,1)-WEEKDAY(DATE($B$55,$A$55,1),2)+1)+26)=$B$55,MONTH((DATE($B$55,$A$55,1)-WEEKDAY(DATE($B$55,$A$55,1),2)+1)+26)=$A$55),((DATE($B$55,$A$55,1)-WEEKDAY(DATE($B$55,$A$55,1),2)+1)+26), "")</f>
        <v>42973</v>
      </c>
      <c r="M61" s="198">
        <f>IF(AND(YEAR((DATE($B$55,$A$55,1)-WEEKDAY(DATE($B$55,$A$55,1),2)+1)+27)=$B$55,MONTH((DATE($B$55,$A$55,1)-WEEKDAY(DATE($B$55,$A$55,1),2)+1)+27)=$A$55),((DATE($B$55,$A$55,1)-WEEKDAY(DATE($B$55,$A$55,1),2)+1)+27), "")</f>
        <v>42974</v>
      </c>
      <c r="N61" s="155"/>
      <c r="O61" s="230">
        <f t="shared" si="7"/>
        <v>38</v>
      </c>
      <c r="P61" s="196">
        <f>IF(AND(YEAR((DATE($B$56,$A$56,1)-WEEKDAY(DATE($B$56,$A$56,1),2)+1)+21)=$B$56,MONTH((DATE($B$56,$A$56,1)-WEEKDAY(DATE($B$56,$A$56,1),2)+1)+21)=$A$56),((DATE($B$56,$A$56,1)-WEEKDAY(DATE($B$56,$A$56,1),2)+1)+21), "")</f>
        <v>42996</v>
      </c>
      <c r="Q61" s="196">
        <f>IF(AND(YEAR((DATE($B$56,$A$56,1)-WEEKDAY(DATE($B$56,$A$56,1),2)+1)+22)=$B$56,MONTH((DATE($B$56,$A$56,1)-WEEKDAY(DATE($B$56,$A$56,1),2)+1)+22)=$A$56),((DATE($B$56,$A$56,1)-WEEKDAY(DATE($B$56,$A$56,1),2)+1)+22), "")</f>
        <v>42997</v>
      </c>
      <c r="R61" s="196">
        <f>IF(AND(YEAR((DATE($B$56,$A$56,1)-WEEKDAY(DATE($B$56,$A$56,1),2)+1)+23)=$B$56,MONTH((DATE($B$56,$A$56,1)-WEEKDAY(DATE($B$56,$A$56,1),2)+1)+23)=$A$56),((DATE($B$56,$A$56,1)-WEEKDAY(DATE($B$56,$A$56,1),2)+1)+23), "")</f>
        <v>42998</v>
      </c>
      <c r="S61" s="196">
        <f>IF(AND(YEAR((DATE($B$56,$A$56,1)-WEEKDAY(DATE($B$56,$A$56,1),2)+1)+24)=$B$56,MONTH((DATE($B$56,$A$56,1)-WEEKDAY(DATE($B$56,$A$56,1),2)+1)+24)=$A$56),((DATE($B$56,$A$56,1)-WEEKDAY(DATE($B$56,$A$56,1),2)+1)+24), "")</f>
        <v>42999</v>
      </c>
      <c r="T61" s="196">
        <f>IF(AND(YEAR((DATE($B$56,$A$56,1)-WEEKDAY(DATE($B$56,$A$56,1),2)+1)+25)=$B$56,MONTH((DATE($B$56,$A$56,1)-WEEKDAY(DATE($B$56,$A$56,1),2)+1)+25)=$A$56),((DATE($B$56,$A$56,1)-WEEKDAY(DATE($B$56,$A$56,1),2)+1)+25), "")</f>
        <v>43000</v>
      </c>
      <c r="U61" s="221">
        <f>IF(AND(YEAR((DATE($B$56,$A$56,1)-WEEKDAY(DATE($B$56,$A$56,1),2)+1)+26)=$B$56,MONTH((DATE($B$56,$A$56,1)-WEEKDAY(DATE($B$56,$A$56,1),2)+1)+26)=$A$56),((DATE($B$56,$A$56,1)-WEEKDAY(DATE($B$56,$A$56,1),2)+1)+26), "")</f>
        <v>43001</v>
      </c>
      <c r="V61" s="221"/>
      <c r="W61" s="198">
        <f>IF(AND(YEAR((DATE($B$56,$A$56,1)-WEEKDAY(DATE($B$56,$A$56,1),2)+1)+27)=$B$56,MONTH((DATE($B$56,$A$56,1)-WEEKDAY(DATE($B$56,$A$56,1),2)+1)+27)=$A$56),((DATE($B$56,$A$56,1)-WEEKDAY(DATE($B$56,$A$56,1),2)+1)+27), "")</f>
        <v>43002</v>
      </c>
      <c r="X61" s="155"/>
      <c r="Y61" s="230">
        <f t="shared" si="8"/>
        <v>42</v>
      </c>
      <c r="Z61" s="196">
        <f>IF(AND(YEAR((DATE($B$57,$A$57,1)-WEEKDAY(DATE($B$57,$A$57,1),2)+1)+21)=$B$57,MONTH((DATE($B$57,$A$57,1)-WEEKDAY(DATE($B$57,$A$57,1),2)+1)+21)=$A$57),((DATE($B$57,$A$57,1)-WEEKDAY(DATE($B$57,$A$57,1),2)+1)+21), "")</f>
        <v>43024</v>
      </c>
      <c r="AA61" s="196">
        <f>IF(AND(YEAR((DATE($B$57,$A$57,1)-WEEKDAY(DATE($B$57,$A$57,1),2)+1)+22)=$B$57,MONTH((DATE($B$57,$A$57,1)-WEEKDAY(DATE($B$57,$A$57,1),2)+1)+22)=$A$57),((DATE($B$57,$A$57,1)-WEEKDAY(DATE($B$57,$A$57,1),2)+1)+22), "")</f>
        <v>43025</v>
      </c>
      <c r="AB61" s="196">
        <f>IF(AND(YEAR((DATE($B$57,$A$57,1)-WEEKDAY(DATE($B$57,$A$57,1),2)+1)+23)=$B$57,MONTH((DATE($B$57,$A$57,1)-WEEKDAY(DATE($B$57,$A$57,1),2)+1)+23)=$A$57),((DATE($B$57,$A$57,1)-WEEKDAY(DATE($B$57,$A$57,1),2)+1)+23), "")</f>
        <v>43026</v>
      </c>
      <c r="AC61" s="196">
        <f>IF(AND(YEAR((DATE($B$57,$A$57,1)-WEEKDAY(DATE($B$57,$A$57,1),2)+1)+24)=$B$57,MONTH((DATE($B$57,$A$57,1)-WEEKDAY(DATE($B$57,$A$57,1),2)+1)+24)=$A$57),((DATE($B$57,$A$57,1)-WEEKDAY(DATE($B$57,$A$57,1),2)+1)+24), "")</f>
        <v>43027</v>
      </c>
      <c r="AD61" s="196">
        <f>IF(AND(YEAR((DATE($B$57,$A$57,1)-WEEKDAY(DATE($B$57,$A$57,1),2)+1)+25)=$B$57,MONTH((DATE($B$57,$A$57,1)-WEEKDAY(DATE($B$57,$A$57,1),2)+1)+25)=$A$57),((DATE($B$57,$A$57,1)-WEEKDAY(DATE($B$57,$A$57,1),2)+1)+25), "")</f>
        <v>43028</v>
      </c>
      <c r="AE61" s="197">
        <f>IF(AND(YEAR((DATE($B$57,$A$57,1)-WEEKDAY(DATE($B$57,$A$57,1),2)+1)+26)=$B$57,MONTH((DATE($B$57,$A$57,1)-WEEKDAY(DATE($B$57,$A$57,1),2)+1)+26)=$A$57),((DATE($B$57,$A$57,1)-WEEKDAY(DATE($B$57,$A$57,1),2)+1)+26), "")</f>
        <v>43029</v>
      </c>
      <c r="AF61" s="198">
        <f>IF(AND(YEAR((DATE($B$57,$A$57,1)-WEEKDAY(DATE($B$57,$A$57,1),2)+1)+27)=$B$57,MONTH((DATE($B$57,$A$57,1)-WEEKDAY(DATE($B$57,$A$57,1),2)+1)+27)=$A$57),((DATE($B$57,$A$57,1)-WEEKDAY(DATE($B$57,$A$57,1),2)+1)+27), "")</f>
        <v>43030</v>
      </c>
      <c r="AG61" s="155"/>
      <c r="AH61" s="230">
        <f t="shared" si="9"/>
        <v>47</v>
      </c>
      <c r="AI61" s="196">
        <f>IF(AND(YEAR((DATE($B$58,$A$58,1)-WEEKDAY(DATE($B$58,$A$58,1),2)+1)+21)=$B$58,MONTH((DATE($B$58,$A$58,1)-WEEKDAY(DATE($B$58,$A$58,1),2)+1)+21)=$A$58),((DATE($B$58,$A$58,1)-WEEKDAY(DATE($B$58,$A$58,1),2)+1)+21), "")</f>
        <v>43059</v>
      </c>
      <c r="AJ61" s="196">
        <f>IF(AND(YEAR((DATE($B$58,$A$58,1)-WEEKDAY(DATE($B$58,$A$58,1),2)+1)+22)=$B$58,MONTH((DATE($B$58,$A$58,1)-WEEKDAY(DATE($B$58,$A$58,1),2)+1)+22)=$A$58),((DATE($B$58,$A$58,1)-WEEKDAY(DATE($B$58,$A$58,1),2)+1)+22), "")</f>
        <v>43060</v>
      </c>
      <c r="AK61" s="196">
        <f>IF(AND(YEAR((DATE($B$58,$A$58,1)-WEEKDAY(DATE($B$58,$A$58,1),2)+1)+23)=$B$58,MONTH((DATE($B$58,$A$58,1)-WEEKDAY(DATE($B$58,$A$58,1),2)+1)+23)=$A$58),((DATE($B$58,$A$58,1)-WEEKDAY(DATE($B$58,$A$58,1),2)+1)+23), "")</f>
        <v>43061</v>
      </c>
      <c r="AL61" s="196">
        <f>IF(AND(YEAR((DATE($B$58,$A$58,1)-WEEKDAY(DATE($B$58,$A$58,1),2)+1)+24)=$B$58,MONTH((DATE($B$58,$A$58,1)-WEEKDAY(DATE($B$58,$A$58,1),2)+1)+24)=$A$58),((DATE($B$58,$A$58,1)-WEEKDAY(DATE($B$58,$A$58,1),2)+1)+24), "")</f>
        <v>43062</v>
      </c>
      <c r="AM61" s="196">
        <f>IF(AND(YEAR((DATE($B$58,$A$58,1)-WEEKDAY(DATE($B$58,$A$58,1),2)+1)+25)=$B$58,MONTH((DATE($B$58,$A$58,1)-WEEKDAY(DATE($B$58,$A$58,1),2)+1)+25)=$A$58),((DATE($B$58,$A$58,1)-WEEKDAY(DATE($B$58,$A$58,1),2)+1)+25), "")</f>
        <v>43063</v>
      </c>
      <c r="AN61" s="197">
        <f>IF(AND(YEAR((DATE($B$58,$A$58,1)-WEEKDAY(DATE($B$58,$A$58,1),2)+1)+26)=$B$58,MONTH((DATE($B$58,$A$58,1)-WEEKDAY(DATE($B$58,$A$58,1),2)+1)+26)=$A$58),((DATE($B$58,$A$58,1)-WEEKDAY(DATE($B$58,$A$58,1),2)+1)+26), "")</f>
        <v>43064</v>
      </c>
      <c r="AO61" s="198">
        <f>IF(AND(YEAR((DATE($B$58,$A$58,1)-WEEKDAY(DATE($B$58,$A$58,1),2)+1)+27)=$B$58,MONTH((DATE($B$58,$A$58,1)-WEEKDAY(DATE($B$58,$A$58,1),2)+1)+27)=$A$58),((DATE($B$58,$A$58,1)-WEEKDAY(DATE($B$58,$A$58,1),2)+1)+27), "")</f>
        <v>43065</v>
      </c>
      <c r="AQ61" s="202" t="s">
        <v>184</v>
      </c>
      <c r="AR61" s="228">
        <v>7</v>
      </c>
    </row>
    <row r="62" spans="1:44" x14ac:dyDescent="0.25">
      <c r="A62" s="161"/>
      <c r="B62" s="159"/>
      <c r="C62" s="159"/>
      <c r="D62" s="160"/>
      <c r="F62" s="230">
        <f t="shared" si="6"/>
        <v>35</v>
      </c>
      <c r="G62" s="196">
        <f>IF(AND(YEAR((DATE($B$55,$A$55,1)-WEEKDAY(DATE($B$55,$A$55,1),2)+1)+28)=$B$55,MONTH((DATE($B$55,$A$55,1)-WEEKDAY(DATE($B$55,$A$55,1),2)+1)+28)=$A$55),((DATE($B$55,$A$55,1)-WEEKDAY(DATE($B$55,$A$55,1),2)+1)+28), "")</f>
        <v>42975</v>
      </c>
      <c r="H62" s="196">
        <f>IF(AND(YEAR((DATE($B$55,$A$55,1)-WEEKDAY(DATE($B$55,$A$55,1),2)+1)+29)=$B$55,MONTH((DATE($B$55,$A$55,1)-WEEKDAY(DATE($B$55,$A$55,1),2)+1)+29)=$A$55),((DATE($B$55,$A$55,1)-WEEKDAY(DATE($B$55,$A$55,1),2)+1)+29), "")</f>
        <v>42976</v>
      </c>
      <c r="I62" s="196">
        <f>IF(AND(YEAR((DATE($B$55,$A$55,1)-WEEKDAY(DATE($B$55,$A$55,1),2)+1)+30)=$B$55,MONTH((DATE($B$55,$A$55,1)-WEEKDAY(DATE($B$55,$A$55,1),2)+1)+30)=$A$55),((DATE($B$55,$A$55,1)-WEEKDAY(DATE($B$55,$A$55,1),2)+1)+30), "")</f>
        <v>42977</v>
      </c>
      <c r="J62" s="196">
        <f>IF(AND(YEAR((DATE($B$55,$A$55,1)-WEEKDAY(DATE($B$55,$A$55,1),2)+1)+31)=$B$55,MONTH((DATE($B$55,$A$55,1)-WEEKDAY(DATE($B$55,$A$55,1),2)+1)+31)=$A$55),((DATE($B$55,$A$55,1)-WEEKDAY(DATE($B$55,$A$55,1),2)+1)+31), "")</f>
        <v>42978</v>
      </c>
      <c r="K62" s="196" t="str">
        <f>IF(AND(YEAR((DATE($B$55,$A$55,1)-WEEKDAY(DATE($B$55,$A$55,1),2)+1)+32)=$B$55,MONTH((DATE($B$55,$A$55,1)-WEEKDAY(DATE($B$55,$A$55,1),2)+1)+32)=$A$55),((DATE($B$55,$A$55,1)-WEEKDAY(DATE($B$55,$A$55,1),2)+1)+32), "")</f>
        <v/>
      </c>
      <c r="L62" s="197" t="str">
        <f>IF(AND(YEAR((DATE($B$55,$A$55,1)-WEEKDAY(DATE($B$55,$A$55,1),2)+1)+33)=$B$55,MONTH((DATE($B$55,$A$55,1)-WEEKDAY(DATE($B$55,$A$55,1),2)+1)+33)=$A$55),((DATE($B$55,$A$55,1)-WEEKDAY(DATE($B$55,$A$55,1),2)+1)+33), "")</f>
        <v/>
      </c>
      <c r="M62" s="198" t="str">
        <f>IF(AND(YEAR((DATE($B$55,$A$55,1)-WEEKDAY(DATE($B$55,$A$55,1),2)+1)+34)=$B$55,MONTH((DATE($B$55,$A$55,1)-WEEKDAY(DATE($B$55,$A$55,1),2)+1)+34)=$A$55),((DATE($B$55,$A$55,1)-WEEKDAY(DATE($B$55,$A$55,1),2)+1)+34), "")</f>
        <v/>
      </c>
      <c r="N62" s="155"/>
      <c r="O62" s="230">
        <f t="shared" si="7"/>
        <v>39</v>
      </c>
      <c r="P62" s="196">
        <f>IF(AND(YEAR((DATE($B$56,$A$56,1)-WEEKDAY(DATE($B$56,$A$56,1),2)+1)+28)=$B$56,MONTH((DATE($B$56,$A$56,1)-WEEKDAY(DATE($B$56,$A$56,1),2)+1)+28)=$A$56),((DATE($B$56,$A$56,1)-WEEKDAY(DATE($B$56,$A$56,1),2)+1)+28), "")</f>
        <v>43003</v>
      </c>
      <c r="Q62" s="196">
        <f>IF(AND(YEAR((DATE($B$56,$A$56,1)-WEEKDAY(DATE($B$56,$A$56,1),2)+1)+29)=$B$56,MONTH((DATE($B$56,$A$56,1)-WEEKDAY(DATE($B$56,$A$56,1),2)+1)+29)=$A$56),((DATE($B$56,$A$56,1)-WEEKDAY(DATE($B$56,$A$56,1),2)+1)+29), "")</f>
        <v>43004</v>
      </c>
      <c r="R62" s="196">
        <f>IF(AND(YEAR((DATE($B$56,$A$56,1)-WEEKDAY(DATE($B$56,$A$56,1),2)+1)+30)=$B$56,MONTH((DATE($B$56,$A$56,1)-WEEKDAY(DATE($B$56,$A$56,1),2)+1)+30)=$A$56),((DATE($B$56,$A$56,1)-WEEKDAY(DATE($B$56,$A$56,1),2)+1)+30), "")</f>
        <v>43005</v>
      </c>
      <c r="S62" s="196">
        <f>IF(AND(YEAR((DATE($B$56,$A$56,1)-WEEKDAY(DATE($B$56,$A$56,1),2)+1)+31)=$B$56,MONTH((DATE($B$56,$A$56,1)-WEEKDAY(DATE($B$56,$A$56,1),2)+1)+31)=$A$56),((DATE($B$56,$A$56,1)-WEEKDAY(DATE($B$56,$A$56,1),2)+1)+31), "")</f>
        <v>43006</v>
      </c>
      <c r="T62" s="196">
        <f>IF(AND(YEAR((DATE($B$56,$A$56,1)-WEEKDAY(DATE($B$56,$A$56,1),2)+1)+32)=$B$56,MONTH((DATE($B$56,$A$56,1)-WEEKDAY(DATE($B$56,$A$56,1),2)+1)+32)=$A$56),((DATE($B$56,$A$56,1)-WEEKDAY(DATE($B$56,$A$56,1),2)+1)+32), "")</f>
        <v>43007</v>
      </c>
      <c r="U62" s="221">
        <f>IF(AND(YEAR((DATE($B$56,$A$56,1)-WEEKDAY(DATE($B$56,$A$56,1),2)+1)+33)=$B$56,MONTH((DATE($B$56,$A$56,1)-WEEKDAY(DATE($B$56,$A$56,1),2)+1)+33)=$A$56),((DATE($B$56,$A$56,1)-WEEKDAY(DATE($B$56,$A$56,1),2)+1)+33), "")</f>
        <v>43008</v>
      </c>
      <c r="V62" s="221"/>
      <c r="W62" s="198" t="str">
        <f>IF(AND(YEAR((DATE($B$56,$A$56,1)-WEEKDAY(DATE($B$56,$A$56,1),2)+1)+34)=$B$56,MONTH((DATE($B$56,$A$56,1)-WEEKDAY(DATE($B$56,$A$56,1),2)+1)+34)=$A$56),((DATE($B$56,$A$56,1)-WEEKDAY(DATE($B$56,$A$56,1),2)+1)+34), "")</f>
        <v/>
      </c>
      <c r="X62" s="155"/>
      <c r="Y62" s="230">
        <f t="shared" si="8"/>
        <v>43</v>
      </c>
      <c r="Z62" s="196">
        <f>IF(AND(YEAR((DATE($B$57,$A$57,1)-WEEKDAY(DATE($B$57,$A$57,1),2)+1)+28)=$B$57,MONTH((DATE($B$57,$A$57,1)-WEEKDAY(DATE($B$57,$A$57,1),2)+1)+28)=$A$57),((DATE($B$57,$A$57,1)-WEEKDAY(DATE($B$57,$A$57,1),2)+1)+28), "")</f>
        <v>43031</v>
      </c>
      <c r="AA62" s="196">
        <f>IF(AND(YEAR((DATE($B$57,$A$57,1)-WEEKDAY(DATE($B$57,$A$57,1),2)+1)+29)=$B$57,MONTH((DATE($B$57,$A$57,1)-WEEKDAY(DATE($B$57,$A$57,1),2)+1)+29)=$A$57),((DATE($B$57,$A$57,1)-WEEKDAY(DATE($B$57,$A$57,1),2)+1)+29), "")</f>
        <v>43032</v>
      </c>
      <c r="AB62" s="196">
        <f>IF(AND(YEAR((DATE($B$57,$A$57,1)-WEEKDAY(DATE($B$57,$A$57,1),2)+1)+30)=$B$57,MONTH((DATE($B$57,$A$57,1)-WEEKDAY(DATE($B$57,$A$57,1),2)+1)+30)=$A$57),((DATE($B$57,$A$57,1)-WEEKDAY(DATE($B$57,$A$57,1),2)+1)+30), "")</f>
        <v>43033</v>
      </c>
      <c r="AC62" s="196">
        <f>IF(AND(YEAR((DATE($B$57,$A$57,1)-WEEKDAY(DATE($B$57,$A$57,1),2)+1)+31)=$B$57,MONTH((DATE($B$57,$A$57,1)-WEEKDAY(DATE($B$57,$A$57,1),2)+1)+31)=$A$57),((DATE($B$57,$A$57,1)-WEEKDAY(DATE($B$57,$A$57,1),2)+1)+31), "")</f>
        <v>43034</v>
      </c>
      <c r="AD62" s="196">
        <f>IF(AND(YEAR((DATE($B$57,$A$57,1)-WEEKDAY(DATE($B$57,$A$57,1),2)+1)+32)=$B$57,MONTH((DATE($B$57,$A$57,1)-WEEKDAY(DATE($B$57,$A$57,1),2)+1)+32)=$A$57),((DATE($B$57,$A$57,1)-WEEKDAY(DATE($B$57,$A$57,1),2)+1)+32), "")</f>
        <v>43035</v>
      </c>
      <c r="AE62" s="197">
        <f>IF(AND(YEAR((DATE($B$57,$A$57,1)-WEEKDAY(DATE($B$57,$A$57,1),2)+1)+33)=$B$57,MONTH((DATE($B$57,$A$57,1)-WEEKDAY(DATE($B$57,$A$57,1),2)+1)+33)=$A$57),((DATE($B$57,$A$57,1)-WEEKDAY(DATE($B$57,$A$57,1),2)+1)+33), "")</f>
        <v>43036</v>
      </c>
      <c r="AF62" s="198">
        <f>IF(AND(YEAR((DATE($B$57,$A$57,1)-WEEKDAY(DATE($B$57,$A$57,1),2)+1)+34)=$B$57,MONTH((DATE($B$57,$A$57,1)-WEEKDAY(DATE($B$57,$A$57,1),2)+1)+34)=$A$57),((DATE($B$57,$A$57,1)-WEEKDAY(DATE($B$57,$A$57,1),2)+1)+34), "")</f>
        <v>43037</v>
      </c>
      <c r="AG62" s="155"/>
      <c r="AH62" s="230">
        <f t="shared" si="9"/>
        <v>48</v>
      </c>
      <c r="AI62" s="196">
        <f>IF(AND(YEAR((DATE($B$58,$A$58,1)-WEEKDAY(DATE($B$58,$A$58,1),2)+1)+28)=$B$58,MONTH((DATE($B$58,$A$58,1)-WEEKDAY(DATE($B$58,$A$58,1),2)+1)+28)=$A$58),((DATE($B$58,$A$58,1)-WEEKDAY(DATE($B$58,$A$58,1),2)+1)+28), "")</f>
        <v>43066</v>
      </c>
      <c r="AJ62" s="196">
        <f>IF(AND(YEAR((DATE($B$58,$A$58,1)-WEEKDAY(DATE($B$58,$A$58,1),2)+1)+29)=$B$58,MONTH((DATE($B$58,$A$58,1)-WEEKDAY(DATE($B$58,$A$58,1),2)+1)+29)=$A$58),((DATE($B$58,$A$58,1)-WEEKDAY(DATE($B$58,$A$58,1),2)+1)+29), "")</f>
        <v>43067</v>
      </c>
      <c r="AK62" s="196">
        <f>IF(AND(YEAR((DATE($B$58,$A$58,1)-WEEKDAY(DATE($B$58,$A$58,1),2)+1)+30)=$B$58,MONTH((DATE($B$58,$A$58,1)-WEEKDAY(DATE($B$58,$A$58,1),2)+1)+30)=$A$58),((DATE($B$58,$A$58,1)-WEEKDAY(DATE($B$58,$A$58,1),2)+1)+30), "")</f>
        <v>43068</v>
      </c>
      <c r="AL62" s="196">
        <f>IF(AND(YEAR((DATE($B$58,$A$58,1)-WEEKDAY(DATE($B$58,$A$58,1),2)+1)+31)=$B$58,MONTH((DATE($B$58,$A$58,1)-WEEKDAY(DATE($B$58,$A$58,1),2)+1)+31)=$A$58),((DATE($B$58,$A$58,1)-WEEKDAY(DATE($B$58,$A$58,1),2)+1)+31), "")</f>
        <v>43069</v>
      </c>
      <c r="AM62" s="196" t="str">
        <f>IF(AND(YEAR((DATE($B$58,$A$58,1)-WEEKDAY(DATE($B$58,$A$58,1),2)+1)+32)=$B$58,MONTH((DATE($B$58,$A$58,1)-WEEKDAY(DATE($B$58,$A$58,1),2)+1)+32)=$A$58),((DATE($B$58,$A$58,1)-WEEKDAY(DATE($B$58,$A$58,1),2)+1)+32), "")</f>
        <v/>
      </c>
      <c r="AN62" s="197" t="str">
        <f>IF(AND(YEAR((DATE($B$58,$A$58,1)-WEEKDAY(DATE($B$58,$A$58,1),2)+1)+33)=$B$58,MONTH((DATE($B$58,$A$58,1)-WEEKDAY(DATE($B$58,$A$58,1),2)+1)+33)=$A$58),((DATE($B$58,$A$58,1)-WEEKDAY(DATE($B$58,$A$58,1),2)+1)+33), "")</f>
        <v/>
      </c>
      <c r="AO62" s="198" t="str">
        <f>IF(AND(YEAR((DATE($B$58,$A$58,1)-WEEKDAY(DATE($B$58,$A$58,1),2)+1)+34)=$B$58,MONTH((DATE($B$58,$A$58,1)-WEEKDAY(DATE($B$58,$A$58,1),2)+1)+34)=$A$58),((DATE($B$58,$A$58,1)-WEEKDAY(DATE($B$58,$A$58,1),2)+1)+34), "")</f>
        <v/>
      </c>
      <c r="AQ62" s="202" t="s">
        <v>185</v>
      </c>
      <c r="AR62" s="232">
        <v>14</v>
      </c>
    </row>
    <row r="63" spans="1:44" ht="15.75" thickBot="1" x14ac:dyDescent="0.3">
      <c r="A63" s="163"/>
      <c r="B63" s="164"/>
      <c r="C63" s="164"/>
      <c r="D63" s="165"/>
      <c r="F63" s="230" t="str">
        <f>IF(G63="","",WEEKNUM(G63,21))</f>
        <v/>
      </c>
      <c r="G63" s="199" t="str">
        <f>IF(AND(YEAR((DATE($B$55,$A$55,1)-WEEKDAY(DATE($B$55,$A$55,1),2)+1)+35)=$B$55,MONTH((DATE($B$55,$A$55,1)-WEEKDAY(DATE($B$55,$A$55,1),2)+1)+35)=$A$55),((DATE($B$55,$A$55,1)-WEEKDAY(DATE($B$55,$A$55,1),2)+1)+35), "")</f>
        <v/>
      </c>
      <c r="H63" s="199" t="str">
        <f>IF(AND(YEAR((DATE($B$55,$A$55,1)-WEEKDAY(DATE($B$55,$A$55,1),2)+1)+36)=$B$55,MONTH((DATE($B$55,$A$55,1)-WEEKDAY(DATE($B$55,$A$55,1),2)+1)+36)=$A$55),((DATE($B$55,$A$55,1)-WEEKDAY(DATE($B$55,$A$55,1),2)+1)+36), "")</f>
        <v/>
      </c>
      <c r="I63" s="199" t="str">
        <f>IF(AND(YEAR((DATE($B$55,$A$55,1)-WEEKDAY(DATE($B$55,$A$55,1),2)+1)+37)=$B$55,MONTH((DATE($B$55,$A$55,1)-WEEKDAY(DATE($B$55,$A$55,1),2)+1)+37)=$A$55),((DATE($B$55,$A$55,1)-WEEKDAY(DATE($B$55,$A$55,1),2)+1)+37), "")</f>
        <v/>
      </c>
      <c r="J63" s="199" t="str">
        <f>IF(AND(YEAR((DATE($B$55,$A$55,1)-WEEKDAY(DATE($B$55,$A$55,1),2)+1)+38)=$B$55,MONTH((DATE($B$55,$A$55,1)-WEEKDAY(DATE($B$55,$A$55,1),2)+1)+38)=$A$55),((DATE($B$55,$A$55,1)-WEEKDAY(DATE($B$55,$A$55,1),2)+1)+38), "")</f>
        <v/>
      </c>
      <c r="K63" s="199" t="str">
        <f>IF(AND(YEAR((DATE($B$55,$A$55,1)-WEEKDAY(DATE($B$55,$A$55,1),2)+1)+39)=$B$55,MONTH((DATE($B$55,$A$55,1)-WEEKDAY(DATE($B$55,$A$55,1),2)+1)+39)=$A$55),((DATE($B$55,$A$55,1)-WEEKDAY(DATE($B$55,$A$55,1),2)+1)+39), "")</f>
        <v/>
      </c>
      <c r="L63" s="200" t="str">
        <f>IF(AND(YEAR((DATE($B$55,$A$55,1)-WEEKDAY(DATE($B$55,$A$55,1),2)+1)+40)=$B$55,MONTH((DATE($B$55,$A$55,1)-WEEKDAY(DATE($B$55,$A$55,1),2)+1)+40)=$A$55),((DATE($B$55,$A$55,1)-WEEKDAY(DATE($B$55,$A$55,1),2)+1)+40), "")</f>
        <v/>
      </c>
      <c r="M63" s="201" t="str">
        <f>IF(AND(YEAR((DATE($B$55,$A$55,1)-WEEKDAY(DATE($B$55,$A$55,1),2)+1)+41)=$B$55,MONTH((DATE($B$55,$A$55,1)-WEEKDAY(DATE($B$55,$A$55,1),2)+1)+41)=$A$55),((DATE($B$55,$A$55,1)-WEEKDAY(DATE($B$55,$A$55,1),2)+1)+41), "")</f>
        <v/>
      </c>
      <c r="N63" s="155"/>
      <c r="O63" s="230" t="str">
        <f>IF(P63="","",WEEKNUM(P63,21))</f>
        <v/>
      </c>
      <c r="P63" s="199" t="str">
        <f>IF(AND(YEAR((DATE($B$56,$A$56,1)-WEEKDAY(DATE($B$56,$A$56,1),2)+1)+35)=$B$56,MONTH((DATE($B$56,$A$56,1)-WEEKDAY(DATE($B$56,$A$56,1),2)+1)+35)=$A$56),((DATE($B$56,$A$56,1)-WEEKDAY(DATE($B$56,$A$56,1),2)+1)+35), "")</f>
        <v/>
      </c>
      <c r="Q63" s="199" t="str">
        <f>IF(AND(YEAR((DATE($B$56,$A$56,1)-WEEKDAY(DATE($B$56,$A$56,1),2)+1)+36)=$B$56,MONTH((DATE($B$56,$A$56,1)-WEEKDAY(DATE($B$56,$A$56,1),2)+1)+36)=$A$56),((DATE($B$56,$A$56,1)-WEEKDAY(DATE($B$56,$A$56,1),2)+1)+36), "")</f>
        <v/>
      </c>
      <c r="R63" s="199" t="str">
        <f>IF(AND(YEAR((DATE($B$56,$A$56,1)-WEEKDAY(DATE($B$56,$A$56,1),2)+1)+37)=$B$56,MONTH((DATE($B$56,$A$56,1)-WEEKDAY(DATE($B$56,$A$56,1),2)+1)+37)=$A$56),((DATE($B$56,$A$56,1)-WEEKDAY(DATE($B$56,$A$56,1),2)+1)+37), "")</f>
        <v/>
      </c>
      <c r="S63" s="199" t="str">
        <f>IF(AND(YEAR((DATE($B$56,$A$56,1)-WEEKDAY(DATE($B$56,$A$56,1),2)+1)+38)=$B$56,MONTH((DATE($B$56,$A$56,1)-WEEKDAY(DATE($B$56,$A$56,1),2)+1)+38)=$A$56),((DATE($B$56,$A$56,1)-WEEKDAY(DATE($B$56,$A$56,1),2)+1)+38), "")</f>
        <v/>
      </c>
      <c r="T63" s="199" t="str">
        <f>IF(AND(YEAR((DATE($B$56,$A$56,1)-WEEKDAY(DATE($B$56,$A$56,1),2)+1)+39)=$B$56,MONTH((DATE($B$56,$A$56,1)-WEEKDAY(DATE($B$56,$A$56,1),2)+1)+39)=$A$56),((DATE($B$56,$A$56,1)-WEEKDAY(DATE($B$56,$A$56,1),2)+1)+39), "")</f>
        <v/>
      </c>
      <c r="U63" s="223" t="str">
        <f>IF(AND(YEAR((DATE($B$56,$A$56,1)-WEEKDAY(DATE($B$56,$A$56,1),2)+1)+40)=$B$56,MONTH((DATE($B$56,$A$56,1)-WEEKDAY(DATE($B$56,$A$56,1),2)+1)+40)=$A$56),((DATE($B$56,$A$56,1)-WEEKDAY(DATE($B$56,$A$56,1),2)+1)+40), "")</f>
        <v/>
      </c>
      <c r="V63" s="223"/>
      <c r="W63" s="201" t="str">
        <f>IF(AND(YEAR((DATE($B$56,$A$56,1)-WEEKDAY(DATE($B$56,$A$56,1),2)+1)+41)=$B$56,MONTH((DATE($B$56,$A$56,1)-WEEKDAY(DATE($B$56,$A$56,1),2)+1)+41)=$A$56),((DATE($B$56,$A$56,1)-WEEKDAY(DATE($B$56,$A$56,1),2)+1)+41), "")</f>
        <v/>
      </c>
      <c r="X63" s="155"/>
      <c r="Y63" s="230">
        <f>IF(Z63="","",WEEKNUM(Z63,21))</f>
        <v>44</v>
      </c>
      <c r="Z63" s="199">
        <f>IF(AND(YEAR((DATE($B$57,$A$57,1)-WEEKDAY(DATE($B$57,$A$57,1),2)+1)+35)=$B$57,MONTH((DATE($B$57,$A$57,1)-WEEKDAY(DATE($B$57,$A$57,1),2)+1)+35)=$A$57),((DATE($B$57,$A$57,1)-WEEKDAY(DATE($B$57,$A$57,1),2)+1)+35), "")</f>
        <v>43038</v>
      </c>
      <c r="AA63" s="199">
        <f>IF(AND(YEAR((DATE($B$57,$A$57,1)-WEEKDAY(DATE($B$57,$A$57,1),2)+1)+36)=$B$57,MONTH((DATE($B$57,$A$57,1)-WEEKDAY(DATE($B$57,$A$57,1),2)+1)+36)=$A$57),((DATE($B$57,$A$57,1)-WEEKDAY(DATE($B$57,$A$57,1),2)+1)+36), "")</f>
        <v>43039</v>
      </c>
      <c r="AB63" s="199" t="str">
        <f>IF(AND(YEAR((DATE($B$57,$A$57,1)-WEEKDAY(DATE($B$57,$A$57,1),2)+1)+37)=$B$57,MONTH((DATE($B$57,$A$57,1)-WEEKDAY(DATE($B$57,$A$57,1),2)+1)+37)=$A$57),((DATE($B$57,$A$57,1)-WEEKDAY(DATE($B$57,$A$57,1),2)+1)+37), "")</f>
        <v/>
      </c>
      <c r="AC63" s="199" t="str">
        <f>IF(AND(YEAR((DATE($B$57,$A$57,1)-WEEKDAY(DATE($B$57,$A$57,1),2)+1)+38)=$B$57,MONTH((DATE($B$57,$A$57,1)-WEEKDAY(DATE($B$57,$A$57,1),2)+1)+38)=$A$57),((DATE($B$57,$A$57,1)-WEEKDAY(DATE($B$57,$A$57,1),2)+1)+38), "")</f>
        <v/>
      </c>
      <c r="AD63" s="199" t="str">
        <f>IF(AND(YEAR((DATE($B$57,$A$57,1)-WEEKDAY(DATE($B$57,$A$57,1),2)+1)+39)=$B$57,MONTH((DATE($B$57,$A$57,1)-WEEKDAY(DATE($B$57,$A$57,1),2)+1)+39)=$A$57),((DATE($B$57,$A$57,1)-WEEKDAY(DATE($B$57,$A$57,1),2)+1)+39), "")</f>
        <v/>
      </c>
      <c r="AE63" s="200" t="str">
        <f>IF(AND(YEAR((DATE($B$57,$A$57,1)-WEEKDAY(DATE($B$57,$A$57,1),2)+1)+40)=$B$57,MONTH((DATE($B$57,$A$57,1)-WEEKDAY(DATE($B$57,$A$57,1),2)+1)+40)=$A$57),((DATE($B$57,$A$57,1)-WEEKDAY(DATE($B$57,$A$57,1),2)+1)+40), "")</f>
        <v/>
      </c>
      <c r="AF63" s="201" t="str">
        <f>IF(AND(YEAR((DATE($B$57,$A$57,1)-WEEKDAY(DATE($B$57,$A$57,1),2)+1)+41)=$B$57,MONTH((DATE($B$57,$A$57,1)-WEEKDAY(DATE($B$57,$A$57,1),2)+1)+41)=$A$57),((DATE($B$57,$A$57,1)-WEEKDAY(DATE($B$57,$A$57,1),2)+1)+41), "")</f>
        <v/>
      </c>
      <c r="AG63" s="155"/>
      <c r="AH63" s="230" t="str">
        <f>IF(AI63="","",WEEKNUM(AI63,21))</f>
        <v/>
      </c>
      <c r="AI63" s="199" t="str">
        <f>IF(AND(YEAR((DATE($B$58,$A$58,1)-WEEKDAY(DATE($B$58,$A$58,1),2)+1)+35)=$B$58,MONTH((DATE($B$58,$A$58,1)-WEEKDAY(DATE($B$58,$A$58,1),2)+1)+35)=$A$58),((DATE($B$58,$A$58,1)-WEEKDAY(DATE($B$58,$A$58,1),2)+1)+35), "")</f>
        <v/>
      </c>
      <c r="AJ63" s="199" t="str">
        <f>IF(AND(YEAR((DATE($B$58,$A$58,1)-WEEKDAY(DATE($B$58,$A$58,1),2)+1)+36)=$B$58,MONTH((DATE($B$58,$A$58,1)-WEEKDAY(DATE($B$58,$A$58,1),2)+1)+36)=$A$58),((DATE($B$58,$A$58,1)-WEEKDAY(DATE($B$58,$A$58,1),2)+1)+36), "")</f>
        <v/>
      </c>
      <c r="AK63" s="199" t="str">
        <f>IF(AND(YEAR((DATE($B$58,$A$58,1)-WEEKDAY(DATE($B$58,$A$58,1),2)+1)+37)=$B$58,MONTH((DATE($B$58,$A$58,1)-WEEKDAY(DATE($B$58,$A$58,1),2)+1)+37)=$A$58),((DATE($B$58,$A$58,1)-WEEKDAY(DATE($B$58,$A$58,1),2)+1)+37), "")</f>
        <v/>
      </c>
      <c r="AL63" s="199" t="str">
        <f>IF(AND(YEAR((DATE($B$58,$A$58,1)-WEEKDAY(DATE($B$58,$A$58,1),2)+1)+38)=$B$58,MONTH((DATE($B$58,$A$58,1)-WEEKDAY(DATE($B$58,$A$58,1),2)+1)+38)=$A$58),((DATE($B$58,$A$58,1)-WEEKDAY(DATE($B$58,$A$58,1),2)+1)+38), "")</f>
        <v/>
      </c>
      <c r="AM63" s="199" t="str">
        <f>IF(AND(YEAR((DATE($B$58,$A$58,1)-WEEKDAY(DATE($B$58,$A$58,1),2)+1)+39)=$B$58,MONTH((DATE($B$58,$A$58,1)-WEEKDAY(DATE($B$58,$A$58,1),2)+1)+39)=$A$58),((DATE($B$58,$A$58,1)-WEEKDAY(DATE($B$58,$A$58,1),2)+1)+39), "")</f>
        <v/>
      </c>
      <c r="AN63" s="200" t="str">
        <f>IF(AND(YEAR((DATE($B$58,$A$58,1)-WEEKDAY(DATE($B$58,$A$58,1),2)+1)+40)=$B$58,MONTH((DATE($B$58,$A$58,1)-WEEKDAY(DATE($B$58,$A$58,1),2)+1)+40)=$A$58),((DATE($B$58,$A$58,1)-WEEKDAY(DATE($B$58,$A$58,1),2)+1)+40), "")</f>
        <v/>
      </c>
      <c r="AO63" s="201" t="str">
        <f>IF(AND(YEAR((DATE($B$58,$A$58,1)-WEEKDAY(DATE($B$58,$A$58,1),2)+1)+41)=$B$58,MONTH((DATE($B$58,$A$58,1)-WEEKDAY(DATE($B$58,$A$58,1),2)+1)+41)=$A$58),((DATE($B$58,$A$58,1)-WEEKDAY(DATE($B$58,$A$58,1),2)+1)+41), "")</f>
        <v/>
      </c>
      <c r="AQ63" s="205"/>
      <c r="AR63" s="206" t="s">
        <v>42</v>
      </c>
    </row>
  </sheetData>
  <sheetProtection algorithmName="SHA-512" hashValue="romUyJDm2gXGJRD5bQ4ZIr1Qevjo6TWOb1sQatqVXinO3UStT3bZFmq74YXuLQTk323d4Zaum3++q6AGRX3oJA==" saltValue="6xkA7YsO/n5ieF7v2GoQuw==" spinCount="100000" sheet="1" objects="1" scenarios="1" selectLockedCells="1"/>
  <mergeCells count="41">
    <mergeCell ref="M2:AP2"/>
    <mergeCell ref="M3:AP3"/>
    <mergeCell ref="M4:AP4"/>
    <mergeCell ref="R35:T35"/>
    <mergeCell ref="R36:T36"/>
    <mergeCell ref="R37:T37"/>
    <mergeCell ref="R40:T40"/>
    <mergeCell ref="U63:V63"/>
    <mergeCell ref="R27:T27"/>
    <mergeCell ref="R28:T28"/>
    <mergeCell ref="R29:T29"/>
    <mergeCell ref="R32:T32"/>
    <mergeCell ref="R33:T33"/>
    <mergeCell ref="R34:T34"/>
    <mergeCell ref="U58:V58"/>
    <mergeCell ref="U59:V59"/>
    <mergeCell ref="U60:V60"/>
    <mergeCell ref="U61:V61"/>
    <mergeCell ref="U62:V62"/>
    <mergeCell ref="AI47:AO47"/>
    <mergeCell ref="G56:M56"/>
    <mergeCell ref="P56:W56"/>
    <mergeCell ref="Z56:AF56"/>
    <mergeCell ref="AI56:AO56"/>
    <mergeCell ref="U48:V48"/>
    <mergeCell ref="U49:V49"/>
    <mergeCell ref="U50:V50"/>
    <mergeCell ref="U51:V51"/>
    <mergeCell ref="U52:V52"/>
    <mergeCell ref="U53:V53"/>
    <mergeCell ref="U54:V54"/>
    <mergeCell ref="G47:M47"/>
    <mergeCell ref="P47:W47"/>
    <mergeCell ref="Z47:AF47"/>
    <mergeCell ref="R43:T43"/>
    <mergeCell ref="R44:T44"/>
    <mergeCell ref="Q38:T38"/>
    <mergeCell ref="Q41:T41"/>
    <mergeCell ref="Q30:T30"/>
    <mergeCell ref="L12:N12"/>
    <mergeCell ref="Q26:T26"/>
  </mergeCells>
  <conditionalFormatting sqref="W27">
    <cfRule type="expression" dxfId="72" priority="163">
      <formula>$B$19=FALSE</formula>
    </cfRule>
  </conditionalFormatting>
  <conditionalFormatting sqref="AU26:AU44">
    <cfRule type="cellIs" dxfId="71" priority="158" operator="equal">
      <formula>"zaterdag"</formula>
    </cfRule>
    <cfRule type="cellIs" dxfId="70" priority="159" operator="equal">
      <formula>"zondag"</formula>
    </cfRule>
  </conditionalFormatting>
  <conditionalFormatting sqref="T31 T39 T42">
    <cfRule type="expression" dxfId="69" priority="137">
      <formula>COUNTIF($AV$8:$AW$20,$T31)=1</formula>
    </cfRule>
  </conditionalFormatting>
  <conditionalFormatting sqref="V26:V44">
    <cfRule type="expression" dxfId="68" priority="136">
      <formula>COUNTIF($AY$8:$AY$20,$AV26)=1</formula>
    </cfRule>
  </conditionalFormatting>
  <conditionalFormatting sqref="Z49:Z54 AI49:AI54 Z58:Z63 AI58:AI63">
    <cfRule type="cellIs" dxfId="67" priority="97" operator="equal">
      <formula>$AY$20</formula>
    </cfRule>
    <cfRule type="cellIs" dxfId="66" priority="98" operator="equal">
      <formula>$AY$19</formula>
    </cfRule>
    <cfRule type="cellIs" dxfId="65" priority="99" operator="between">
      <formula>$AY$11</formula>
      <formula>$AY$18</formula>
    </cfRule>
    <cfRule type="cellIs" dxfId="64" priority="100" operator="equal">
      <formula>$AY$10</formula>
    </cfRule>
    <cfRule type="cellIs" dxfId="63" priority="101" operator="equal">
      <formula>$AY$9</formula>
    </cfRule>
    <cfRule type="cellIs" dxfId="62" priority="102" operator="equal">
      <formula>$AY$8</formula>
    </cfRule>
  </conditionalFormatting>
  <conditionalFormatting sqref="U26:U44">
    <cfRule type="expression" dxfId="61" priority="26">
      <formula>COUNTIF($AX$8:$AX$20,$AU26)=1</formula>
    </cfRule>
  </conditionalFormatting>
  <conditionalFormatting sqref="R27:R29 R32:R37 R43:R44">
    <cfRule type="expression" dxfId="60" priority="23">
      <formula>$AT27="zondag"</formula>
    </cfRule>
    <cfRule type="expression" dxfId="59" priority="24">
      <formula>$AT27="zaterdag"</formula>
    </cfRule>
  </conditionalFormatting>
  <conditionalFormatting sqref="R27:R29">
    <cfRule type="expression" dxfId="58" priority="2619">
      <formula>COUNTIF($AU$8:$AV$20,$R27)=1</formula>
    </cfRule>
  </conditionalFormatting>
  <conditionalFormatting sqref="Q26">
    <cfRule type="expression" dxfId="57" priority="20">
      <formula>$AT26="zondag"</formula>
    </cfRule>
    <cfRule type="expression" dxfId="56" priority="21">
      <formula>$AT26="zaterdag"</formula>
    </cfRule>
  </conditionalFormatting>
  <conditionalFormatting sqref="Q26 Q38 Q41">
    <cfRule type="expression" dxfId="55" priority="22">
      <formula>COUNTIF($AU$8:$AV$20,$Q26)=1</formula>
    </cfRule>
  </conditionalFormatting>
  <conditionalFormatting sqref="Q30">
    <cfRule type="expression" dxfId="54" priority="17">
      <formula>$AT30="zondag"</formula>
    </cfRule>
    <cfRule type="expression" dxfId="53" priority="18">
      <formula>$AT30="zaterdag"</formula>
    </cfRule>
  </conditionalFormatting>
  <conditionalFormatting sqref="Q30">
    <cfRule type="expression" dxfId="52" priority="19">
      <formula>COUNTIF($AU$8:$AV$20,$Q30)=1</formula>
    </cfRule>
  </conditionalFormatting>
  <conditionalFormatting sqref="Q38">
    <cfRule type="expression" dxfId="51" priority="14">
      <formula>$AT38="zondag"</formula>
    </cfRule>
    <cfRule type="expression" dxfId="50" priority="15">
      <formula>$AT38="zaterdag"</formula>
    </cfRule>
  </conditionalFormatting>
  <conditionalFormatting sqref="Q41">
    <cfRule type="expression" dxfId="49" priority="11">
      <formula>$AT41="zondag"</formula>
    </cfRule>
    <cfRule type="expression" dxfId="48" priority="12">
      <formula>$AT41="zaterdag"</formula>
    </cfRule>
  </conditionalFormatting>
  <conditionalFormatting sqref="R32:R37 R43:R44">
    <cfRule type="expression" dxfId="47" priority="3352">
      <formula>COUNTIF($AU$8:$AV$20,#REF!)=1</formula>
    </cfRule>
  </conditionalFormatting>
  <conditionalFormatting sqref="R40">
    <cfRule type="expression" dxfId="46" priority="5">
      <formula>$AT40="zondag"</formula>
    </cfRule>
    <cfRule type="expression" dxfId="45" priority="6">
      <formula>$AT40="zaterdag"</formula>
    </cfRule>
  </conditionalFormatting>
  <conditionalFormatting sqref="R40">
    <cfRule type="expression" dxfId="44" priority="7">
      <formula>COUNTIF($AU$8:$AV$20,#REF!)=1</formula>
    </cfRule>
  </conditionalFormatting>
  <conditionalFormatting sqref="G49:M54 P49:W54 Z49:AF54 AI49:AO54 G58:M63 P58:W63 Z58:AF63 AI58:AO63">
    <cfRule type="cellIs" dxfId="43" priority="116" operator="equal">
      <formula>$AU$20</formula>
    </cfRule>
    <cfRule type="cellIs" dxfId="42" priority="117" operator="equal">
      <formula>$AU$19</formula>
    </cfRule>
    <cfRule type="cellIs" dxfId="41" priority="118" operator="equal">
      <formula>$AU$18</formula>
    </cfRule>
    <cfRule type="cellIs" dxfId="40" priority="119" operator="equal">
      <formula>$AU$17</formula>
    </cfRule>
    <cfRule type="cellIs" dxfId="39" priority="120" operator="equal">
      <formula>$AU$16</formula>
    </cfRule>
    <cfRule type="cellIs" dxfId="38" priority="121" operator="equal">
      <formula>$AU$15</formula>
    </cfRule>
    <cfRule type="cellIs" dxfId="37" priority="122" operator="equal">
      <formula>$AU$14</formula>
    </cfRule>
    <cfRule type="cellIs" dxfId="36" priority="123" operator="equal">
      <formula>$AU$13</formula>
    </cfRule>
    <cfRule type="cellIs" dxfId="35" priority="124" operator="equal">
      <formula>$AU$12</formula>
    </cfRule>
    <cfRule type="cellIs" dxfId="34" priority="135" operator="equal">
      <formula>$AU$11</formula>
    </cfRule>
    <cfRule type="cellIs" dxfId="33" priority="2578" operator="equal">
      <formula>$AU$8</formula>
    </cfRule>
    <cfRule type="cellIs" dxfId="32" priority="2579" operator="equal">
      <formula>$AV$20</formula>
    </cfRule>
    <cfRule type="cellIs" dxfId="31" priority="2580" operator="equal">
      <formula>$AV$19</formula>
    </cfRule>
    <cfRule type="cellIs" dxfId="30" priority="2581" operator="equal">
      <formula>$AV$18</formula>
    </cfRule>
    <cfRule type="cellIs" dxfId="29" priority="3178" operator="equal">
      <formula>$AV$17</formula>
    </cfRule>
    <cfRule type="cellIs" dxfId="28" priority="3179" operator="equal">
      <formula>$AV$16</formula>
    </cfRule>
    <cfRule type="cellIs" dxfId="27" priority="3180" operator="equal">
      <formula>$AV$15</formula>
    </cfRule>
    <cfRule type="cellIs" dxfId="26" priority="3208" operator="equal">
      <formula>$AV$14</formula>
    </cfRule>
    <cfRule type="cellIs" dxfId="25" priority="3209" operator="equal">
      <formula>$AV$13</formula>
    </cfRule>
    <cfRule type="cellIs" dxfId="24" priority="3210" operator="equal">
      <formula>$AV$12</formula>
    </cfRule>
    <cfRule type="cellIs" dxfId="23" priority="3211" operator="equal">
      <formula>$AV$11</formula>
    </cfRule>
    <cfRule type="cellIs" dxfId="22" priority="3212" operator="equal">
      <formula>$AV$8</formula>
    </cfRule>
    <cfRule type="cellIs" dxfId="21" priority="3213" operator="between">
      <formula>$AX$26</formula>
      <formula>$Q$30</formula>
    </cfRule>
    <cfRule type="cellIs" dxfId="20" priority="3214" operator="between">
      <formula>$Q$38</formula>
      <formula>$AX$41</formula>
    </cfRule>
  </conditionalFormatting>
  <conditionalFormatting sqref="L49:M54 L58:M63 U49:W54 U58:W63 AE58:AF63 AN58:AO63 AE49:AF54 AN49:AO54">
    <cfRule type="cellIs" dxfId="19" priority="103" operator="equal">
      <formula>$AY$26-1</formula>
    </cfRule>
    <cfRule type="cellIs" dxfId="18" priority="105" operator="equal">
      <formula>$R$27</formula>
    </cfRule>
    <cfRule type="cellIs" dxfId="17" priority="107" operator="equal">
      <formula>$R$28</formula>
    </cfRule>
    <cfRule type="cellIs" dxfId="16" priority="109" operator="equal">
      <formula>$R$29</formula>
    </cfRule>
    <cfRule type="cellIs" dxfId="15" priority="111" operator="equal">
      <formula>$Q$30</formula>
    </cfRule>
    <cfRule type="cellIs" dxfId="14" priority="113" operator="equal">
      <formula>$Q$38</formula>
    </cfRule>
    <cfRule type="cellIs" dxfId="13" priority="115" operator="equal">
      <formula>$AX$41+1</formula>
    </cfRule>
  </conditionalFormatting>
  <conditionalFormatting sqref="G49:K54 P49:T54 Z49:AD54 AI49:AM54 G58:K63 P58:T63 Z58:AD63 AI58:AM63">
    <cfRule type="cellIs" dxfId="12" priority="1" operator="equal">
      <formula>$AX$26-1</formula>
    </cfRule>
    <cfRule type="cellIs" dxfId="11" priority="104" operator="equal">
      <formula>$R$27</formula>
    </cfRule>
    <cfRule type="cellIs" dxfId="10" priority="106" operator="equal">
      <formula>$R$28</formula>
    </cfRule>
    <cfRule type="cellIs" dxfId="9" priority="108" operator="equal">
      <formula>$R$29</formula>
    </cfRule>
    <cfRule type="cellIs" dxfId="8" priority="110" operator="equal">
      <formula>$Q$30</formula>
    </cfRule>
    <cfRule type="cellIs" dxfId="7" priority="112" operator="equal">
      <formula>$Q$38</formula>
    </cfRule>
    <cfRule type="cellIs" dxfId="6" priority="114" operator="equal">
      <formula>$AX$41+1</formula>
    </cfRule>
  </conditionalFormatting>
  <conditionalFormatting sqref="F49:F54 O49:O54 Y49:Y54 AH49:AH54 F58:F63 O58:O63 Y58:Y63 AH58:AH63">
    <cfRule type="cellIs" dxfId="5" priority="69" operator="equal">
      <formula>$AX$20</formula>
    </cfRule>
    <cfRule type="cellIs" dxfId="4" priority="70" operator="equal">
      <formula>$AX$19</formula>
    </cfRule>
    <cfRule type="cellIs" dxfId="3" priority="71" operator="between">
      <formula>$AX$11</formula>
      <formula>$AX$18</formula>
    </cfRule>
    <cfRule type="cellIs" dxfId="2" priority="72" operator="equal">
      <formula>$AX$10</formula>
    </cfRule>
    <cfRule type="cellIs" dxfId="1" priority="73" operator="equal">
      <formula>$AX$9</formula>
    </cfRule>
    <cfRule type="cellIs" dxfId="0" priority="74" operator="equal">
      <formula>$AX$8</formula>
    </cfRule>
  </conditionalFormatting>
  <pageMargins left="0.70866141732283472" right="0.70866141732283472" top="0.74803149606299213" bottom="0.74803149606299213" header="0.31496062992125984" footer="0.31496062992125984"/>
  <pageSetup paperSize="9" scale="74" orientation="landscape" r:id="rId1"/>
  <headerFooter scaleWithDoc="0">
    <oddFooter>&amp;R&amp;10blad &amp;P/&amp;N</oddFooter>
  </headerFooter>
  <colBreaks count="1" manualBreakCount="1">
    <brk id="44" max="1048575" man="1"/>
  </colBreaks>
  <drawing r:id="rId2"/>
  <legacyDrawing r:id="rId3"/>
  <controls>
    <mc:AlternateContent xmlns:mc="http://schemas.openxmlformats.org/markup-compatibility/2006">
      <mc:Choice Requires="x14">
        <control shapeId="6167" r:id="rId4" name="DTPicker1">
          <controlPr locked="0" defaultSize="0" print="0" autoLine="0" autoPict="0" altText="kalenderinvoer" linkedCell="L12" r:id="rId5">
            <anchor moveWithCells="1">
              <from>
                <xdr:col>11</xdr:col>
                <xdr:colOff>9525</xdr:colOff>
                <xdr:row>9</xdr:row>
                <xdr:rowOff>171450</xdr:rowOff>
              </from>
              <to>
                <xdr:col>18</xdr:col>
                <xdr:colOff>133350</xdr:colOff>
                <xdr:row>10</xdr:row>
                <xdr:rowOff>171450</xdr:rowOff>
              </to>
            </anchor>
          </controlPr>
        </control>
      </mc:Choice>
      <mc:Fallback>
        <control shapeId="6167" r:id="rId4" name="DTPicker1"/>
      </mc:Fallback>
    </mc:AlternateContent>
    <mc:AlternateContent xmlns:mc="http://schemas.openxmlformats.org/markup-compatibility/2006">
      <mc:Choice Requires="x14">
        <control shapeId="6145" r:id="rId6" name="Drop Down 1">
          <controlPr defaultSize="0" autoLine="0" autoPict="0">
            <anchor moveWithCells="1">
              <from>
                <xdr:col>11</xdr:col>
                <xdr:colOff>19050</xdr:colOff>
                <xdr:row>8</xdr:row>
                <xdr:rowOff>0</xdr:rowOff>
              </from>
              <to>
                <xdr:col>18</xdr:col>
                <xdr:colOff>142875</xdr:colOff>
                <xdr:row>9</xdr:row>
                <xdr:rowOff>9525</xdr:rowOff>
              </to>
            </anchor>
          </controlPr>
        </control>
      </mc:Choice>
    </mc:AlternateContent>
    <mc:AlternateContent xmlns:mc="http://schemas.openxmlformats.org/markup-compatibility/2006">
      <mc:Choice Requires="x14">
        <control shapeId="6147" r:id="rId7" name="Check Box 3">
          <controlPr locked="0" defaultSize="0" autoFill="0" autoLine="0" autoPict="0">
            <anchor moveWithCells="1">
              <from>
                <xdr:col>10</xdr:col>
                <xdr:colOff>257175</xdr:colOff>
                <xdr:row>17</xdr:row>
                <xdr:rowOff>0</xdr:rowOff>
              </from>
              <to>
                <xdr:col>17</xdr:col>
                <xdr:colOff>228600</xdr:colOff>
                <xdr:row>17</xdr:row>
                <xdr:rowOff>180975</xdr:rowOff>
              </to>
            </anchor>
          </controlPr>
        </control>
      </mc:Choice>
    </mc:AlternateContent>
    <mc:AlternateContent xmlns:mc="http://schemas.openxmlformats.org/markup-compatibility/2006">
      <mc:Choice Requires="x14">
        <control shapeId="6148" r:id="rId8" name="Check Box 4">
          <controlPr locked="0" defaultSize="0" autoFill="0" autoLine="0" autoPict="0">
            <anchor moveWithCells="1">
              <from>
                <xdr:col>10</xdr:col>
                <xdr:colOff>257175</xdr:colOff>
                <xdr:row>18</xdr:row>
                <xdr:rowOff>0</xdr:rowOff>
              </from>
              <to>
                <xdr:col>17</xdr:col>
                <xdr:colOff>228600</xdr:colOff>
                <xdr:row>19</xdr:row>
                <xdr:rowOff>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10</xdr:col>
                <xdr:colOff>257175</xdr:colOff>
                <xdr:row>16</xdr:row>
                <xdr:rowOff>0</xdr:rowOff>
              </from>
              <to>
                <xdr:col>22</xdr:col>
                <xdr:colOff>104775</xdr:colOff>
                <xdr:row>17</xdr:row>
                <xdr:rowOff>0</xdr:rowOff>
              </to>
            </anchor>
          </controlPr>
        </control>
      </mc:Choice>
    </mc:AlternateContent>
    <mc:AlternateContent xmlns:mc="http://schemas.openxmlformats.org/markup-compatibility/2006">
      <mc:Choice Requires="x14">
        <control shapeId="6151" r:id="rId10" name="Spinner 7">
          <controlPr defaultSize="0" print="0" autoPict="0">
            <anchor moveWithCells="1" sizeWithCells="1">
              <from>
                <xdr:col>23</xdr:col>
                <xdr:colOff>9525</xdr:colOff>
                <xdr:row>32</xdr:row>
                <xdr:rowOff>0</xdr:rowOff>
              </from>
              <to>
                <xdr:col>23</xdr:col>
                <xdr:colOff>114300</xdr:colOff>
                <xdr:row>32</xdr:row>
                <xdr:rowOff>171450</xdr:rowOff>
              </to>
            </anchor>
          </controlPr>
        </control>
      </mc:Choice>
    </mc:AlternateContent>
    <mc:AlternateContent xmlns:mc="http://schemas.openxmlformats.org/markup-compatibility/2006">
      <mc:Choice Requires="x14">
        <control shapeId="6152" r:id="rId11" name="Spinner 8">
          <controlPr defaultSize="0" print="0" autoPict="0">
            <anchor moveWithCells="1" sizeWithCells="1">
              <from>
                <xdr:col>23</xdr:col>
                <xdr:colOff>9525</xdr:colOff>
                <xdr:row>33</xdr:row>
                <xdr:rowOff>0</xdr:rowOff>
              </from>
              <to>
                <xdr:col>23</xdr:col>
                <xdr:colOff>114300</xdr:colOff>
                <xdr:row>33</xdr:row>
                <xdr:rowOff>171450</xdr:rowOff>
              </to>
            </anchor>
          </controlPr>
        </control>
      </mc:Choice>
    </mc:AlternateContent>
    <mc:AlternateContent xmlns:mc="http://schemas.openxmlformats.org/markup-compatibility/2006">
      <mc:Choice Requires="x14">
        <control shapeId="6153" r:id="rId12" name="Spinner 9">
          <controlPr defaultSize="0" print="0" autoPict="0">
            <anchor moveWithCells="1" sizeWithCells="1">
              <from>
                <xdr:col>23</xdr:col>
                <xdr:colOff>9525</xdr:colOff>
                <xdr:row>28</xdr:row>
                <xdr:rowOff>9525</xdr:rowOff>
              </from>
              <to>
                <xdr:col>23</xdr:col>
                <xdr:colOff>114300</xdr:colOff>
                <xdr:row>28</xdr:row>
                <xdr:rowOff>180975</xdr:rowOff>
              </to>
            </anchor>
          </controlPr>
        </control>
      </mc:Choice>
    </mc:AlternateContent>
    <mc:AlternateContent xmlns:mc="http://schemas.openxmlformats.org/markup-compatibility/2006">
      <mc:Choice Requires="x14">
        <control shapeId="6154" r:id="rId13" name="Spinner 10">
          <controlPr defaultSize="0" print="0" autoPict="0">
            <anchor moveWithCells="1" sizeWithCells="1">
              <from>
                <xdr:col>23</xdr:col>
                <xdr:colOff>9525</xdr:colOff>
                <xdr:row>27</xdr:row>
                <xdr:rowOff>9525</xdr:rowOff>
              </from>
              <to>
                <xdr:col>23</xdr:col>
                <xdr:colOff>114300</xdr:colOff>
                <xdr:row>27</xdr:row>
                <xdr:rowOff>180975</xdr:rowOff>
              </to>
            </anchor>
          </controlPr>
        </control>
      </mc:Choice>
    </mc:AlternateContent>
    <mc:AlternateContent xmlns:mc="http://schemas.openxmlformats.org/markup-compatibility/2006">
      <mc:Choice Requires="x14">
        <control shapeId="6155" r:id="rId14" name="Spinner 11">
          <controlPr defaultSize="0" print="0" autoPict="0">
            <anchor moveWithCells="1" sizeWithCells="1">
              <from>
                <xdr:col>23</xdr:col>
                <xdr:colOff>9525</xdr:colOff>
                <xdr:row>29</xdr:row>
                <xdr:rowOff>9525</xdr:rowOff>
              </from>
              <to>
                <xdr:col>23</xdr:col>
                <xdr:colOff>114300</xdr:colOff>
                <xdr:row>29</xdr:row>
                <xdr:rowOff>180975</xdr:rowOff>
              </to>
            </anchor>
          </controlPr>
        </control>
      </mc:Choice>
    </mc:AlternateContent>
    <mc:AlternateContent xmlns:mc="http://schemas.openxmlformats.org/markup-compatibility/2006">
      <mc:Choice Requires="x14">
        <control shapeId="6156" r:id="rId15" name="Spinner 12">
          <controlPr defaultSize="0" print="0" autoPict="0">
            <anchor moveWithCells="1" sizeWithCells="1">
              <from>
                <xdr:col>23</xdr:col>
                <xdr:colOff>9525</xdr:colOff>
                <xdr:row>34</xdr:row>
                <xdr:rowOff>0</xdr:rowOff>
              </from>
              <to>
                <xdr:col>23</xdr:col>
                <xdr:colOff>114300</xdr:colOff>
                <xdr:row>34</xdr:row>
                <xdr:rowOff>171450</xdr:rowOff>
              </to>
            </anchor>
          </controlPr>
        </control>
      </mc:Choice>
    </mc:AlternateContent>
    <mc:AlternateContent xmlns:mc="http://schemas.openxmlformats.org/markup-compatibility/2006">
      <mc:Choice Requires="x14">
        <control shapeId="6157" r:id="rId16" name="Spinner 13">
          <controlPr defaultSize="0" print="0" autoPict="0">
            <anchor moveWithCells="1" sizeWithCells="1">
              <from>
                <xdr:col>23</xdr:col>
                <xdr:colOff>9525</xdr:colOff>
                <xdr:row>35</xdr:row>
                <xdr:rowOff>0</xdr:rowOff>
              </from>
              <to>
                <xdr:col>23</xdr:col>
                <xdr:colOff>114300</xdr:colOff>
                <xdr:row>35</xdr:row>
                <xdr:rowOff>171450</xdr:rowOff>
              </to>
            </anchor>
          </controlPr>
        </control>
      </mc:Choice>
    </mc:AlternateContent>
    <mc:AlternateContent xmlns:mc="http://schemas.openxmlformats.org/markup-compatibility/2006">
      <mc:Choice Requires="x14">
        <control shapeId="6158" r:id="rId17" name="Spinner 14">
          <controlPr defaultSize="0" print="0" autoPict="0">
            <anchor moveWithCells="1" sizeWithCells="1">
              <from>
                <xdr:col>23</xdr:col>
                <xdr:colOff>9525</xdr:colOff>
                <xdr:row>36</xdr:row>
                <xdr:rowOff>0</xdr:rowOff>
              </from>
              <to>
                <xdr:col>23</xdr:col>
                <xdr:colOff>114300</xdr:colOff>
                <xdr:row>36</xdr:row>
                <xdr:rowOff>171450</xdr:rowOff>
              </to>
            </anchor>
          </controlPr>
        </control>
      </mc:Choice>
    </mc:AlternateContent>
    <mc:AlternateContent xmlns:mc="http://schemas.openxmlformats.org/markup-compatibility/2006">
      <mc:Choice Requires="x14">
        <control shapeId="6160" r:id="rId18" name="Spinner 16">
          <controlPr defaultSize="0" print="0" autoPict="0">
            <anchor moveWithCells="1" sizeWithCells="1">
              <from>
                <xdr:col>23</xdr:col>
                <xdr:colOff>9525</xdr:colOff>
                <xdr:row>37</xdr:row>
                <xdr:rowOff>0</xdr:rowOff>
              </from>
              <to>
                <xdr:col>23</xdr:col>
                <xdr:colOff>114300</xdr:colOff>
                <xdr:row>37</xdr:row>
                <xdr:rowOff>171450</xdr:rowOff>
              </to>
            </anchor>
          </controlPr>
        </control>
      </mc:Choice>
    </mc:AlternateContent>
    <mc:AlternateContent xmlns:mc="http://schemas.openxmlformats.org/markup-compatibility/2006">
      <mc:Choice Requires="x14">
        <control shapeId="6161" r:id="rId19" name="Check Box 17">
          <controlPr locked="0" defaultSize="0" autoFill="0" autoLine="0" autoPict="0">
            <anchor moveWithCells="1">
              <from>
                <xdr:col>10</xdr:col>
                <xdr:colOff>257175</xdr:colOff>
                <xdr:row>19</xdr:row>
                <xdr:rowOff>0</xdr:rowOff>
              </from>
              <to>
                <xdr:col>22</xdr:col>
                <xdr:colOff>66675</xdr:colOff>
                <xdr:row>19</xdr:row>
                <xdr:rowOff>190500</xdr:rowOff>
              </to>
            </anchor>
          </controlPr>
        </control>
      </mc:Choice>
    </mc:AlternateContent>
    <mc:AlternateContent xmlns:mc="http://schemas.openxmlformats.org/markup-compatibility/2006">
      <mc:Choice Requires="x14">
        <control shapeId="6162" r:id="rId20" name="Spinner 18">
          <controlPr defaultSize="0" print="0" autoPict="0">
            <anchor moveWithCells="1" sizeWithCells="1">
              <from>
                <xdr:col>23</xdr:col>
                <xdr:colOff>9525</xdr:colOff>
                <xdr:row>39</xdr:row>
                <xdr:rowOff>0</xdr:rowOff>
              </from>
              <to>
                <xdr:col>23</xdr:col>
                <xdr:colOff>114300</xdr:colOff>
                <xdr:row>39</xdr:row>
                <xdr:rowOff>171450</xdr:rowOff>
              </to>
            </anchor>
          </controlPr>
        </control>
      </mc:Choice>
    </mc:AlternateContent>
    <mc:AlternateContent xmlns:mc="http://schemas.openxmlformats.org/markup-compatibility/2006">
      <mc:Choice Requires="x14">
        <control shapeId="6163" r:id="rId21" name="Spinner 19">
          <controlPr defaultSize="0" print="0" autoPict="0">
            <anchor moveWithCells="1" sizeWithCells="1">
              <from>
                <xdr:col>23</xdr:col>
                <xdr:colOff>9525</xdr:colOff>
                <xdr:row>40</xdr:row>
                <xdr:rowOff>0</xdr:rowOff>
              </from>
              <to>
                <xdr:col>23</xdr:col>
                <xdr:colOff>114300</xdr:colOff>
                <xdr:row>40</xdr:row>
                <xdr:rowOff>171450</xdr:rowOff>
              </to>
            </anchor>
          </controlPr>
        </control>
      </mc:Choice>
    </mc:AlternateContent>
    <mc:AlternateContent xmlns:mc="http://schemas.openxmlformats.org/markup-compatibility/2006">
      <mc:Choice Requires="x14">
        <control shapeId="6164" r:id="rId22" name="Spinner 20">
          <controlPr defaultSize="0" print="0" autoPict="0">
            <anchor moveWithCells="1" sizeWithCells="1">
              <from>
                <xdr:col>23</xdr:col>
                <xdr:colOff>9525</xdr:colOff>
                <xdr:row>42</xdr:row>
                <xdr:rowOff>0</xdr:rowOff>
              </from>
              <to>
                <xdr:col>23</xdr:col>
                <xdr:colOff>114300</xdr:colOff>
                <xdr:row>42</xdr:row>
                <xdr:rowOff>171450</xdr:rowOff>
              </to>
            </anchor>
          </controlPr>
        </control>
      </mc:Choice>
    </mc:AlternateContent>
    <mc:AlternateContent xmlns:mc="http://schemas.openxmlformats.org/markup-compatibility/2006">
      <mc:Choice Requires="x14">
        <control shapeId="6165" r:id="rId23" name="Spinner 21">
          <controlPr defaultSize="0" print="0" autoPict="0">
            <anchor moveWithCells="1" sizeWithCells="1">
              <from>
                <xdr:col>23</xdr:col>
                <xdr:colOff>9525</xdr:colOff>
                <xdr:row>26</xdr:row>
                <xdr:rowOff>0</xdr:rowOff>
              </from>
              <to>
                <xdr:col>23</xdr:col>
                <xdr:colOff>114300</xdr:colOff>
                <xdr:row>26</xdr:row>
                <xdr:rowOff>171450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10</xdr:col>
                <xdr:colOff>257175</xdr:colOff>
                <xdr:row>14</xdr:row>
                <xdr:rowOff>0</xdr:rowOff>
              </from>
              <to>
                <xdr:col>22</xdr:col>
                <xdr:colOff>104775</xdr:colOff>
                <xdr:row>15</xdr:row>
                <xdr:rowOff>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showRowColHeaders="0" workbookViewId="0">
      <selection activeCell="B14" sqref="B14"/>
    </sheetView>
  </sheetViews>
  <sheetFormatPr defaultRowHeight="15" x14ac:dyDescent="0.25"/>
  <cols>
    <col min="1" max="1" width="1.7109375" customWidth="1"/>
    <col min="18" max="18" width="2.140625" customWidth="1"/>
    <col min="19" max="19" width="9" customWidth="1"/>
    <col min="20" max="20" width="1.85546875" customWidth="1"/>
    <col min="21" max="21" width="49.42578125" customWidth="1"/>
  </cols>
  <sheetData>
    <row r="1" spans="2:21" ht="8.25" customHeight="1" thickBot="1" x14ac:dyDescent="0.3"/>
    <row r="2" spans="2:21" ht="21" thickBot="1" x14ac:dyDescent="0.35">
      <c r="B2" s="98" t="s">
        <v>73</v>
      </c>
      <c r="C2" s="99"/>
      <c r="D2" s="99"/>
      <c r="E2" s="99"/>
      <c r="F2" s="99"/>
      <c r="G2" s="99"/>
      <c r="H2" s="99"/>
      <c r="I2" s="99"/>
      <c r="J2" s="99"/>
      <c r="K2" s="99"/>
      <c r="L2" s="99"/>
      <c r="M2" s="99"/>
      <c r="N2" s="99"/>
      <c r="O2" s="99"/>
      <c r="P2" s="99"/>
      <c r="Q2" s="100"/>
      <c r="S2" s="106" t="s">
        <v>90</v>
      </c>
      <c r="T2" s="113">
        <v>2</v>
      </c>
      <c r="U2" s="90"/>
    </row>
    <row r="3" spans="2:21" ht="11.25" customHeight="1" thickBot="1" x14ac:dyDescent="0.3">
      <c r="B3" s="101"/>
      <c r="C3" s="102"/>
      <c r="D3" s="102"/>
      <c r="E3" s="102"/>
      <c r="F3" s="102"/>
      <c r="G3" s="102"/>
      <c r="H3" s="102"/>
      <c r="I3" s="102"/>
      <c r="J3" s="102"/>
      <c r="K3" s="102"/>
      <c r="L3" s="102"/>
      <c r="M3" s="102"/>
      <c r="N3" s="102"/>
      <c r="O3" s="102"/>
      <c r="P3" s="102"/>
      <c r="Q3" s="102"/>
      <c r="S3" s="105"/>
      <c r="T3" s="105"/>
      <c r="U3" s="105"/>
    </row>
    <row r="4" spans="2:21" x14ac:dyDescent="0.25">
      <c r="B4" s="88" t="s">
        <v>86</v>
      </c>
      <c r="C4" s="89"/>
      <c r="D4" s="89"/>
      <c r="E4" s="89"/>
      <c r="F4" s="89"/>
      <c r="G4" s="89"/>
      <c r="H4" s="89"/>
      <c r="I4" s="89"/>
      <c r="J4" s="89"/>
      <c r="K4" s="89"/>
      <c r="L4" s="89"/>
      <c r="M4" s="89"/>
      <c r="N4" s="89"/>
      <c r="O4" s="89"/>
      <c r="P4" s="89"/>
      <c r="Q4" s="90"/>
      <c r="S4" s="107">
        <v>42570</v>
      </c>
      <c r="T4" s="108">
        <v>1</v>
      </c>
      <c r="U4" s="109" t="s">
        <v>91</v>
      </c>
    </row>
    <row r="5" spans="2:21" x14ac:dyDescent="0.25">
      <c r="B5" s="91"/>
      <c r="C5" s="92"/>
      <c r="D5" s="92"/>
      <c r="E5" s="92"/>
      <c r="F5" s="92"/>
      <c r="G5" s="92"/>
      <c r="H5" s="92"/>
      <c r="I5" s="92"/>
      <c r="J5" s="92"/>
      <c r="K5" s="92"/>
      <c r="L5" s="92"/>
      <c r="M5" s="92"/>
      <c r="N5" s="92"/>
      <c r="O5" s="92"/>
      <c r="P5" s="92"/>
      <c r="Q5" s="93"/>
      <c r="S5" s="107">
        <v>42708</v>
      </c>
      <c r="T5" s="108">
        <v>2</v>
      </c>
      <c r="U5" s="109" t="s">
        <v>92</v>
      </c>
    </row>
    <row r="6" spans="2:21" x14ac:dyDescent="0.25">
      <c r="B6" s="97" t="s">
        <v>74</v>
      </c>
      <c r="C6" s="92"/>
      <c r="D6" s="92"/>
      <c r="E6" s="92"/>
      <c r="F6" s="92"/>
      <c r="G6" s="92"/>
      <c r="H6" s="92"/>
      <c r="I6" s="92"/>
      <c r="J6" s="92"/>
      <c r="K6" s="92"/>
      <c r="L6" s="92"/>
      <c r="M6" s="92"/>
      <c r="N6" s="92"/>
      <c r="O6" s="92"/>
      <c r="P6" s="92"/>
      <c r="Q6" s="93"/>
      <c r="S6" s="107"/>
      <c r="T6" s="108">
        <v>2</v>
      </c>
      <c r="U6" s="109" t="s">
        <v>93</v>
      </c>
    </row>
    <row r="7" spans="2:21" x14ac:dyDescent="0.25">
      <c r="B7" s="97" t="s">
        <v>88</v>
      </c>
      <c r="C7" s="92"/>
      <c r="D7" s="92"/>
      <c r="E7" s="92"/>
      <c r="F7" s="92"/>
      <c r="G7" s="92"/>
      <c r="H7" s="92"/>
      <c r="I7" s="92"/>
      <c r="J7" s="92"/>
      <c r="K7" s="92"/>
      <c r="L7" s="92"/>
      <c r="M7" s="92"/>
      <c r="N7" s="92"/>
      <c r="O7" s="92"/>
      <c r="P7" s="92"/>
      <c r="Q7" s="93"/>
      <c r="S7" s="107"/>
      <c r="T7" s="108">
        <v>2</v>
      </c>
      <c r="U7" s="109" t="s">
        <v>97</v>
      </c>
    </row>
    <row r="8" spans="2:21" x14ac:dyDescent="0.25">
      <c r="B8" s="97" t="s">
        <v>87</v>
      </c>
      <c r="C8" s="92"/>
      <c r="D8" s="92"/>
      <c r="E8" s="92"/>
      <c r="F8" s="92"/>
      <c r="G8" s="92"/>
      <c r="H8" s="92"/>
      <c r="I8" s="92"/>
      <c r="J8" s="92"/>
      <c r="K8" s="92"/>
      <c r="L8" s="92"/>
      <c r="M8" s="92"/>
      <c r="N8" s="92"/>
      <c r="O8" s="92"/>
      <c r="P8" s="92"/>
      <c r="Q8" s="93"/>
      <c r="S8" s="107">
        <v>42723</v>
      </c>
      <c r="T8" s="108">
        <v>2</v>
      </c>
      <c r="U8" s="109" t="s">
        <v>109</v>
      </c>
    </row>
    <row r="9" spans="2:21" x14ac:dyDescent="0.25">
      <c r="B9" s="91"/>
      <c r="C9" s="92"/>
      <c r="D9" s="92"/>
      <c r="E9" s="92"/>
      <c r="F9" s="92"/>
      <c r="G9" s="92"/>
      <c r="H9" s="92"/>
      <c r="I9" s="92"/>
      <c r="J9" s="92"/>
      <c r="K9" s="92"/>
      <c r="L9" s="92"/>
      <c r="M9" s="92"/>
      <c r="N9" s="92"/>
      <c r="O9" s="92"/>
      <c r="P9" s="92"/>
      <c r="Q9" s="93"/>
      <c r="S9" s="107"/>
      <c r="T9" s="108">
        <v>2</v>
      </c>
      <c r="U9" s="109" t="s">
        <v>134</v>
      </c>
    </row>
    <row r="10" spans="2:21" x14ac:dyDescent="0.25">
      <c r="B10" s="97" t="s">
        <v>75</v>
      </c>
      <c r="C10" s="92"/>
      <c r="D10" s="92"/>
      <c r="E10" s="92"/>
      <c r="F10" s="92"/>
      <c r="G10" s="92"/>
      <c r="H10" s="92"/>
      <c r="I10" s="92"/>
      <c r="J10" s="92"/>
      <c r="K10" s="92"/>
      <c r="L10" s="92"/>
      <c r="M10" s="92"/>
      <c r="N10" s="92"/>
      <c r="O10" s="92"/>
      <c r="P10" s="92"/>
      <c r="Q10" s="93"/>
      <c r="S10" s="107"/>
      <c r="T10" s="108">
        <v>2</v>
      </c>
      <c r="U10" s="109" t="s">
        <v>135</v>
      </c>
    </row>
    <row r="11" spans="2:21" x14ac:dyDescent="0.25">
      <c r="B11" s="91"/>
      <c r="C11" s="92"/>
      <c r="D11" s="92"/>
      <c r="E11" s="92"/>
      <c r="F11" s="92"/>
      <c r="G11" s="92"/>
      <c r="H11" s="92"/>
      <c r="I11" s="92"/>
      <c r="J11" s="92"/>
      <c r="K11" s="92"/>
      <c r="L11" s="92"/>
      <c r="M11" s="92"/>
      <c r="N11" s="92"/>
      <c r="O11" s="92"/>
      <c r="P11" s="92"/>
      <c r="Q11" s="93"/>
      <c r="S11" s="107"/>
      <c r="T11" s="108"/>
      <c r="U11" s="109" t="s">
        <v>136</v>
      </c>
    </row>
    <row r="12" spans="2:21" x14ac:dyDescent="0.25">
      <c r="B12" s="97" t="s">
        <v>80</v>
      </c>
      <c r="C12" s="92"/>
      <c r="D12" s="92"/>
      <c r="E12" s="92"/>
      <c r="F12" s="92"/>
      <c r="G12" s="92"/>
      <c r="H12" s="92"/>
      <c r="I12" s="92"/>
      <c r="J12" s="92"/>
      <c r="K12" s="92"/>
      <c r="L12" s="92"/>
      <c r="M12" s="92"/>
      <c r="N12" s="92"/>
      <c r="O12" s="92"/>
      <c r="P12" s="92"/>
      <c r="Q12" s="93"/>
      <c r="S12" s="107"/>
      <c r="T12" s="108">
        <v>2</v>
      </c>
      <c r="U12" s="109" t="s">
        <v>141</v>
      </c>
    </row>
    <row r="13" spans="2:21" x14ac:dyDescent="0.25">
      <c r="B13" s="91"/>
      <c r="C13" s="92"/>
      <c r="D13" s="92"/>
      <c r="E13" s="92"/>
      <c r="F13" s="92"/>
      <c r="G13" s="92"/>
      <c r="H13" s="92"/>
      <c r="I13" s="92"/>
      <c r="J13" s="92"/>
      <c r="K13" s="92"/>
      <c r="L13" s="92"/>
      <c r="M13" s="92"/>
      <c r="N13" s="92"/>
      <c r="O13" s="92"/>
      <c r="P13" s="92"/>
      <c r="Q13" s="93"/>
      <c r="S13" s="107"/>
      <c r="T13" s="139"/>
      <c r="U13" s="109" t="s">
        <v>142</v>
      </c>
    </row>
    <row r="14" spans="2:21" x14ac:dyDescent="0.25">
      <c r="B14" s="97" t="s">
        <v>81</v>
      </c>
      <c r="C14" s="92"/>
      <c r="D14" s="92"/>
      <c r="E14" s="92"/>
      <c r="F14" s="92"/>
      <c r="G14" s="92"/>
      <c r="H14" s="92"/>
      <c r="I14" s="92"/>
      <c r="J14" s="92"/>
      <c r="K14" s="92"/>
      <c r="L14" s="92"/>
      <c r="M14" s="92"/>
      <c r="N14" s="92"/>
      <c r="O14" s="92"/>
      <c r="P14" s="92"/>
      <c r="Q14" s="93"/>
      <c r="S14" s="107">
        <v>42724</v>
      </c>
      <c r="T14" s="108">
        <v>2</v>
      </c>
      <c r="U14" s="109" t="s">
        <v>146</v>
      </c>
    </row>
    <row r="15" spans="2:21" x14ac:dyDescent="0.25">
      <c r="B15" s="91"/>
      <c r="C15" s="92"/>
      <c r="D15" s="92"/>
      <c r="E15" s="92"/>
      <c r="F15" s="92"/>
      <c r="G15" s="92"/>
      <c r="H15" s="92"/>
      <c r="I15" s="92"/>
      <c r="J15" s="92"/>
      <c r="K15" s="92"/>
      <c r="L15" s="92"/>
      <c r="M15" s="92"/>
      <c r="N15" s="92"/>
      <c r="O15" s="92"/>
      <c r="P15" s="92"/>
      <c r="Q15" s="93"/>
      <c r="S15" s="107">
        <v>42825</v>
      </c>
      <c r="T15" s="108">
        <v>3</v>
      </c>
      <c r="U15" s="109" t="s">
        <v>179</v>
      </c>
    </row>
    <row r="16" spans="2:21" x14ac:dyDescent="0.25">
      <c r="B16" s="97" t="s">
        <v>82</v>
      </c>
      <c r="C16" s="92"/>
      <c r="D16" s="92"/>
      <c r="E16" s="92"/>
      <c r="F16" s="92"/>
      <c r="G16" s="92"/>
      <c r="H16" s="92"/>
      <c r="I16" s="92"/>
      <c r="J16" s="92"/>
      <c r="K16" s="92"/>
      <c r="L16" s="92"/>
      <c r="M16" s="92"/>
      <c r="N16" s="92"/>
      <c r="O16" s="92"/>
      <c r="P16" s="92"/>
      <c r="Q16" s="93"/>
      <c r="S16" s="107"/>
      <c r="T16" s="108"/>
      <c r="U16" s="109"/>
    </row>
    <row r="17" spans="2:21" x14ac:dyDescent="0.25">
      <c r="B17" s="97" t="s">
        <v>83</v>
      </c>
      <c r="C17" s="92"/>
      <c r="D17" s="92"/>
      <c r="E17" s="92"/>
      <c r="F17" s="92"/>
      <c r="G17" s="92"/>
      <c r="H17" s="92"/>
      <c r="I17" s="92"/>
      <c r="J17" s="92"/>
      <c r="K17" s="92"/>
      <c r="L17" s="92"/>
      <c r="M17" s="92"/>
      <c r="N17" s="92"/>
      <c r="O17" s="92"/>
      <c r="P17" s="92"/>
      <c r="Q17" s="93"/>
      <c r="S17" s="107"/>
      <c r="T17" s="108"/>
      <c r="U17" s="109"/>
    </row>
    <row r="18" spans="2:21" x14ac:dyDescent="0.25">
      <c r="B18" s="91"/>
      <c r="C18" s="92"/>
      <c r="D18" s="92"/>
      <c r="E18" s="92"/>
      <c r="F18" s="92"/>
      <c r="G18" s="92"/>
      <c r="H18" s="92"/>
      <c r="I18" s="92"/>
      <c r="J18" s="92"/>
      <c r="K18" s="92"/>
      <c r="L18" s="92"/>
      <c r="M18" s="92"/>
      <c r="N18" s="92"/>
      <c r="O18" s="92"/>
      <c r="P18" s="92"/>
      <c r="Q18" s="93"/>
      <c r="S18" s="107"/>
      <c r="T18" s="108"/>
      <c r="U18" s="109"/>
    </row>
    <row r="19" spans="2:21" x14ac:dyDescent="0.25">
      <c r="B19" s="103" t="s">
        <v>76</v>
      </c>
      <c r="C19" s="92"/>
      <c r="D19" s="92"/>
      <c r="E19" s="92"/>
      <c r="F19" s="92"/>
      <c r="G19" s="92"/>
      <c r="H19" s="92"/>
      <c r="I19" s="92"/>
      <c r="J19" s="92"/>
      <c r="K19" s="92"/>
      <c r="L19" s="92"/>
      <c r="M19" s="92"/>
      <c r="N19" s="92"/>
      <c r="O19" s="92"/>
      <c r="P19" s="92"/>
      <c r="Q19" s="93"/>
      <c r="S19" s="107"/>
      <c r="T19" s="108"/>
      <c r="U19" s="109"/>
    </row>
    <row r="20" spans="2:21" x14ac:dyDescent="0.25">
      <c r="B20" s="97" t="s">
        <v>77</v>
      </c>
      <c r="C20" s="92"/>
      <c r="D20" s="92"/>
      <c r="E20" s="92"/>
      <c r="F20" s="92"/>
      <c r="G20" s="92"/>
      <c r="H20" s="92"/>
      <c r="I20" s="92"/>
      <c r="J20" s="92"/>
      <c r="K20" s="92"/>
      <c r="L20" s="92"/>
      <c r="M20" s="92"/>
      <c r="N20" s="92"/>
      <c r="O20" s="92"/>
      <c r="P20" s="92"/>
      <c r="Q20" s="93"/>
      <c r="S20" s="107"/>
      <c r="T20" s="108"/>
      <c r="U20" s="109"/>
    </row>
    <row r="21" spans="2:21" x14ac:dyDescent="0.25">
      <c r="B21" s="97" t="s">
        <v>78</v>
      </c>
      <c r="C21" s="92"/>
      <c r="D21" s="92"/>
      <c r="E21" s="92"/>
      <c r="F21" s="92"/>
      <c r="G21" s="92"/>
      <c r="H21" s="92"/>
      <c r="I21" s="92"/>
      <c r="J21" s="92"/>
      <c r="K21" s="92"/>
      <c r="L21" s="92"/>
      <c r="M21" s="92"/>
      <c r="N21" s="92"/>
      <c r="O21" s="92"/>
      <c r="P21" s="92"/>
      <c r="Q21" s="93"/>
      <c r="S21" s="107"/>
      <c r="T21" s="108"/>
      <c r="U21" s="109"/>
    </row>
    <row r="22" spans="2:21" x14ac:dyDescent="0.25">
      <c r="B22" s="97" t="s">
        <v>79</v>
      </c>
      <c r="C22" s="92"/>
      <c r="D22" s="92"/>
      <c r="E22" s="92"/>
      <c r="F22" s="92"/>
      <c r="G22" s="92"/>
      <c r="H22" s="92"/>
      <c r="I22" s="92"/>
      <c r="J22" s="92"/>
      <c r="K22" s="92"/>
      <c r="L22" s="92"/>
      <c r="M22" s="92"/>
      <c r="N22" s="92"/>
      <c r="O22" s="92"/>
      <c r="P22" s="92"/>
      <c r="Q22" s="93"/>
      <c r="S22" s="107"/>
      <c r="T22" s="108"/>
      <c r="U22" s="109"/>
    </row>
    <row r="23" spans="2:21" x14ac:dyDescent="0.25">
      <c r="B23" s="97" t="s">
        <v>84</v>
      </c>
      <c r="C23" s="92"/>
      <c r="D23" s="92"/>
      <c r="E23" s="92"/>
      <c r="F23" s="92"/>
      <c r="G23" s="92"/>
      <c r="H23" s="92"/>
      <c r="I23" s="92"/>
      <c r="J23" s="92"/>
      <c r="K23" s="92"/>
      <c r="L23" s="92"/>
      <c r="M23" s="92"/>
      <c r="N23" s="92"/>
      <c r="O23" s="92"/>
      <c r="P23" s="92"/>
      <c r="Q23" s="93"/>
      <c r="S23" s="107"/>
      <c r="T23" s="108"/>
      <c r="U23" s="109"/>
    </row>
    <row r="24" spans="2:21" x14ac:dyDescent="0.25">
      <c r="B24" s="97"/>
      <c r="C24" s="92"/>
      <c r="D24" s="92"/>
      <c r="E24" s="92"/>
      <c r="F24" s="92"/>
      <c r="G24" s="92"/>
      <c r="H24" s="92"/>
      <c r="I24" s="92"/>
      <c r="J24" s="92"/>
      <c r="K24" s="92"/>
      <c r="L24" s="92"/>
      <c r="M24" s="92"/>
      <c r="N24" s="92"/>
      <c r="O24" s="92"/>
      <c r="P24" s="92"/>
      <c r="Q24" s="93"/>
      <c r="S24" s="107"/>
      <c r="T24" s="108"/>
      <c r="U24" s="109"/>
    </row>
    <row r="25" spans="2:21" x14ac:dyDescent="0.25">
      <c r="B25" s="97" t="s">
        <v>89</v>
      </c>
      <c r="C25" s="92"/>
      <c r="D25" s="92"/>
      <c r="E25" s="92"/>
      <c r="F25" s="92"/>
      <c r="G25" s="92"/>
      <c r="H25" s="92"/>
      <c r="I25" s="92"/>
      <c r="J25" s="92"/>
      <c r="K25" s="92"/>
      <c r="L25" s="92"/>
      <c r="M25" s="92"/>
      <c r="N25" s="92"/>
      <c r="O25" s="92"/>
      <c r="P25" s="92"/>
      <c r="Q25" s="93"/>
      <c r="S25" s="107"/>
      <c r="T25" s="108"/>
      <c r="U25" s="109"/>
    </row>
    <row r="26" spans="2:21" x14ac:dyDescent="0.25">
      <c r="B26" s="91"/>
      <c r="C26" s="92"/>
      <c r="D26" s="92"/>
      <c r="E26" s="92"/>
      <c r="F26" s="92"/>
      <c r="G26" s="92"/>
      <c r="H26" s="92"/>
      <c r="I26" s="92"/>
      <c r="J26" s="92"/>
      <c r="K26" s="92"/>
      <c r="L26" s="92"/>
      <c r="M26" s="92"/>
      <c r="N26" s="92"/>
      <c r="O26" s="92"/>
      <c r="P26" s="92"/>
      <c r="Q26" s="93"/>
      <c r="S26" s="107"/>
      <c r="T26" s="108"/>
      <c r="U26" s="109"/>
    </row>
    <row r="27" spans="2:21" x14ac:dyDescent="0.25">
      <c r="B27" s="97" t="s">
        <v>85</v>
      </c>
      <c r="C27" s="92"/>
      <c r="D27" s="92"/>
      <c r="E27" s="92"/>
      <c r="F27" s="92"/>
      <c r="G27" s="92"/>
      <c r="H27" s="92"/>
      <c r="I27" s="92"/>
      <c r="J27" s="92"/>
      <c r="K27" s="92"/>
      <c r="L27" s="92"/>
      <c r="M27" s="92"/>
      <c r="N27" s="92"/>
      <c r="O27" s="92"/>
      <c r="P27" s="92"/>
      <c r="Q27" s="93"/>
      <c r="S27" s="107"/>
      <c r="T27" s="108"/>
      <c r="U27" s="109"/>
    </row>
    <row r="28" spans="2:21" x14ac:dyDescent="0.25">
      <c r="B28" s="91"/>
      <c r="C28" s="92"/>
      <c r="D28" s="92"/>
      <c r="E28" s="92"/>
      <c r="F28" s="92"/>
      <c r="G28" s="92"/>
      <c r="H28" s="92"/>
      <c r="I28" s="92"/>
      <c r="J28" s="92"/>
      <c r="K28" s="92"/>
      <c r="L28" s="92"/>
      <c r="M28" s="92"/>
      <c r="N28" s="92"/>
      <c r="O28" s="92"/>
      <c r="P28" s="92"/>
      <c r="Q28" s="93"/>
      <c r="S28" s="107"/>
      <c r="T28" s="108"/>
      <c r="U28" s="109"/>
    </row>
    <row r="29" spans="2:21" x14ac:dyDescent="0.25">
      <c r="B29" s="97" t="s">
        <v>145</v>
      </c>
      <c r="C29" s="92"/>
      <c r="D29" s="92"/>
      <c r="E29" s="92"/>
      <c r="F29" s="92"/>
      <c r="G29" s="92"/>
      <c r="H29" s="92"/>
      <c r="I29" s="92"/>
      <c r="J29" s="92"/>
      <c r="K29" s="92"/>
      <c r="L29" s="92"/>
      <c r="M29" s="92"/>
      <c r="N29" s="92"/>
      <c r="O29" s="92"/>
      <c r="P29" s="92"/>
      <c r="Q29" s="93"/>
      <c r="S29" s="107"/>
      <c r="T29" s="108"/>
      <c r="U29" s="109"/>
    </row>
    <row r="30" spans="2:21" x14ac:dyDescent="0.25">
      <c r="B30" s="97"/>
      <c r="C30" s="92"/>
      <c r="D30" s="92"/>
      <c r="E30" s="92"/>
      <c r="F30" s="92"/>
      <c r="G30" s="92"/>
      <c r="H30" s="92"/>
      <c r="I30" s="92"/>
      <c r="J30" s="92"/>
      <c r="K30" s="92"/>
      <c r="L30" s="92"/>
      <c r="M30" s="92"/>
      <c r="N30" s="92"/>
      <c r="O30" s="92"/>
      <c r="P30" s="92"/>
      <c r="Q30" s="93"/>
      <c r="S30" s="107"/>
      <c r="T30" s="108"/>
      <c r="U30" s="109"/>
    </row>
    <row r="31" spans="2:21" x14ac:dyDescent="0.25">
      <c r="B31" s="91"/>
      <c r="C31" s="92"/>
      <c r="D31" s="92"/>
      <c r="E31" s="92"/>
      <c r="F31" s="92"/>
      <c r="G31" s="92"/>
      <c r="H31" s="92"/>
      <c r="I31" s="92"/>
      <c r="J31" s="92"/>
      <c r="K31" s="92"/>
      <c r="L31" s="92"/>
      <c r="M31" s="92"/>
      <c r="N31" s="92"/>
      <c r="O31" s="92"/>
      <c r="P31" s="92"/>
      <c r="Q31" s="93"/>
      <c r="S31" s="107"/>
      <c r="T31" s="108"/>
      <c r="U31" s="109"/>
    </row>
    <row r="32" spans="2:21" x14ac:dyDescent="0.25">
      <c r="B32" s="91"/>
      <c r="C32" s="92"/>
      <c r="D32" s="92"/>
      <c r="E32" s="92"/>
      <c r="F32" s="92"/>
      <c r="G32" s="92"/>
      <c r="H32" s="92"/>
      <c r="I32" s="92"/>
      <c r="J32" s="92"/>
      <c r="K32" s="92"/>
      <c r="L32" s="92"/>
      <c r="M32" s="92"/>
      <c r="N32" s="92"/>
      <c r="O32" s="92"/>
      <c r="P32" s="92"/>
      <c r="Q32" s="93"/>
      <c r="S32" s="107"/>
      <c r="T32" s="108"/>
      <c r="U32" s="109"/>
    </row>
    <row r="33" spans="2:21" x14ac:dyDescent="0.25">
      <c r="B33" s="103"/>
      <c r="C33" s="92"/>
      <c r="D33" s="92"/>
      <c r="E33" s="92"/>
      <c r="F33" s="92"/>
      <c r="G33" s="92"/>
      <c r="H33" s="92"/>
      <c r="I33" s="92"/>
      <c r="J33" s="92"/>
      <c r="K33" s="92"/>
      <c r="L33" s="92"/>
      <c r="M33" s="92"/>
      <c r="N33" s="92"/>
      <c r="O33" s="92"/>
      <c r="P33" s="92"/>
      <c r="Q33" s="93"/>
      <c r="S33" s="107"/>
      <c r="T33" s="108"/>
      <c r="U33" s="109"/>
    </row>
    <row r="34" spans="2:21" x14ac:dyDescent="0.25">
      <c r="B34" s="97"/>
      <c r="C34" s="92"/>
      <c r="D34" s="92"/>
      <c r="E34" s="92"/>
      <c r="F34" s="92"/>
      <c r="G34" s="92"/>
      <c r="H34" s="92"/>
      <c r="I34" s="92"/>
      <c r="J34" s="92"/>
      <c r="K34" s="92"/>
      <c r="L34" s="92"/>
      <c r="M34" s="92"/>
      <c r="N34" s="92"/>
      <c r="O34" s="92"/>
      <c r="P34" s="92"/>
      <c r="Q34" s="93"/>
      <c r="S34" s="107"/>
      <c r="T34" s="108"/>
      <c r="U34" s="109"/>
    </row>
    <row r="35" spans="2:21" x14ac:dyDescent="0.25">
      <c r="B35" s="97"/>
      <c r="C35" s="92"/>
      <c r="D35" s="92"/>
      <c r="E35" s="92"/>
      <c r="F35" s="92"/>
      <c r="G35" s="92"/>
      <c r="H35" s="92"/>
      <c r="I35" s="92"/>
      <c r="J35" s="92"/>
      <c r="K35" s="92"/>
      <c r="L35" s="92"/>
      <c r="M35" s="92"/>
      <c r="N35" s="92"/>
      <c r="O35" s="92"/>
      <c r="P35" s="92"/>
      <c r="Q35" s="93"/>
      <c r="S35" s="107"/>
      <c r="T35" s="108"/>
      <c r="U35" s="109"/>
    </row>
    <row r="36" spans="2:21" x14ac:dyDescent="0.25">
      <c r="B36" s="97"/>
      <c r="C36" s="92"/>
      <c r="D36" s="92"/>
      <c r="E36" s="92"/>
      <c r="F36" s="92"/>
      <c r="G36" s="92"/>
      <c r="H36" s="92"/>
      <c r="I36" s="92"/>
      <c r="J36" s="92"/>
      <c r="K36" s="92"/>
      <c r="L36" s="92"/>
      <c r="M36" s="92"/>
      <c r="N36" s="92"/>
      <c r="O36" s="92"/>
      <c r="P36" s="92"/>
      <c r="Q36" s="93"/>
      <c r="S36" s="107"/>
      <c r="T36" s="108"/>
      <c r="U36" s="109"/>
    </row>
    <row r="37" spans="2:21" x14ac:dyDescent="0.25">
      <c r="B37" s="91"/>
      <c r="C37" s="92"/>
      <c r="D37" s="92"/>
      <c r="E37" s="92"/>
      <c r="F37" s="92"/>
      <c r="G37" s="92"/>
      <c r="H37" s="92"/>
      <c r="I37" s="92"/>
      <c r="J37" s="92"/>
      <c r="K37" s="92"/>
      <c r="L37" s="92"/>
      <c r="M37" s="92"/>
      <c r="N37" s="92"/>
      <c r="O37" s="92"/>
      <c r="P37" s="92"/>
      <c r="Q37" s="93"/>
      <c r="S37" s="107"/>
      <c r="T37" s="108"/>
      <c r="U37" s="109"/>
    </row>
    <row r="38" spans="2:21" x14ac:dyDescent="0.25">
      <c r="B38" s="91"/>
      <c r="C38" s="92"/>
      <c r="D38" s="92"/>
      <c r="E38" s="92"/>
      <c r="F38" s="92"/>
      <c r="G38" s="92"/>
      <c r="H38" s="92"/>
      <c r="I38" s="92"/>
      <c r="J38" s="92"/>
      <c r="K38" s="92"/>
      <c r="L38" s="92"/>
      <c r="M38" s="92"/>
      <c r="N38" s="92"/>
      <c r="O38" s="92"/>
      <c r="P38" s="92"/>
      <c r="Q38" s="93"/>
      <c r="S38" s="107"/>
      <c r="T38" s="108"/>
      <c r="U38" s="109"/>
    </row>
    <row r="39" spans="2:21" ht="15.75" thickBot="1" x14ac:dyDescent="0.3">
      <c r="B39" s="94"/>
      <c r="C39" s="95"/>
      <c r="D39" s="95"/>
      <c r="E39" s="95"/>
      <c r="F39" s="95"/>
      <c r="G39" s="95"/>
      <c r="H39" s="95"/>
      <c r="I39" s="95"/>
      <c r="J39" s="95"/>
      <c r="K39" s="95"/>
      <c r="L39" s="95"/>
      <c r="M39" s="95"/>
      <c r="N39" s="95"/>
      <c r="O39" s="95"/>
      <c r="P39" s="95"/>
      <c r="Q39" s="96"/>
      <c r="S39" s="110"/>
      <c r="T39" s="111"/>
      <c r="U39" s="112"/>
    </row>
  </sheetData>
  <sheetProtection algorithmName="SHA-512" hashValue="s8+TZ9+IvGGGSFOLYP3xzzVYpDXMFJ/bZRNIblREIJ7Y2GdnGlLoANRo5Ju3yAa0tnsRcCchWL+jt2vBsIB0zw==" saltValue="IQNdZcWexW5gUgpwe20XcA=="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gebruiksaanwijzing</vt:lpstr>
      <vt:lpstr>NOP</vt:lpstr>
      <vt:lpstr>OP</vt:lpstr>
      <vt:lpstr>MO</vt:lpstr>
      <vt:lpstr>Disclaimer</vt:lpstr>
      <vt:lpstr>MO!Afdrukbereik</vt:lpstr>
      <vt:lpstr>NOP!Afdrukbereik</vt:lpstr>
      <vt:lpstr>OP!Afdrukbereik</vt:lpstr>
      <vt:lpstr>MO!Afdruktitels</vt:lpstr>
      <vt:lpstr>NOP!Afdruktitels</vt:lpstr>
      <vt:lpstr>OP!Afdruktitels</vt:lpstr>
    </vt:vector>
  </TitlesOfParts>
  <Company>ToornendPartners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Aanbestedingsplanner herziene wet</dc:title>
  <dc:creator>Rob van Gemert</dc:creator>
  <cp:lastModifiedBy>Rob van Gemert, ToornendPartners</cp:lastModifiedBy>
  <cp:lastPrinted>2017-04-03T11:34:23Z</cp:lastPrinted>
  <dcterms:created xsi:type="dcterms:W3CDTF">2010-05-20T14:08:27Z</dcterms:created>
  <dcterms:modified xsi:type="dcterms:W3CDTF">2017-04-03T11:42:17Z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